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VICTOR CARRILLO\Documents\LLANITOS\2020\"/>
    </mc:Choice>
  </mc:AlternateContent>
  <xr:revisionPtr revIDLastSave="0" documentId="8_{6F85FB01-2E9D-4CB5-A7B2-579E2F676679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Calendario anual" sheetId="1" r:id="rId1"/>
  </sheets>
  <externalReferences>
    <externalReference r:id="rId2"/>
  </externalReferences>
  <definedNames>
    <definedName name="AbrDom1">DATE(AñoCalendario,4,1)-WEEKDAY(DATE(AñoCalendario,4,1),2)</definedName>
    <definedName name="AgoDom1">DATE(AñoCalendario,8,1)-WEEKDAY(DATE(AñoCalendario,8,1),2)</definedName>
    <definedName name="AñoCalendario">'Calendario anual'!$C$1</definedName>
    <definedName name="_xlnm.Print_Area" localSheetId="0">'Calendario anual'!$B$1:$W$55</definedName>
    <definedName name="DecDom1">DATE(AñoCalendario,12,1)-WEEKDAY(DATE(AñoCalendario,12,1),2)</definedName>
    <definedName name="DiasCategorias">#REF!</definedName>
    <definedName name="FebDom1">DATE(AñoCalendario,2,1)-WEEKDAY(DATE(AñoCalendario,2,1),2)</definedName>
    <definedName name="FechaInicio">[1]Completo!$B$3</definedName>
    <definedName name="JanDom1">DATE(AñoCalendario,1,1)-WEEKDAY(DATE(AñoCalendario,1,1),2)</definedName>
    <definedName name="JulDom1">DATE(AñoCalendario,7,1)-WEEKDAY(DATE(AñoCalendario,7,1),2)</definedName>
    <definedName name="JunDom1">DATE(AñoCalendario,6,1)-WEEKDAY(DATE(AñoCalendario,6,1),2)</definedName>
    <definedName name="MarDom1">DATE(AñoCalendario,3,1)-WEEKDAY(DATE(AñoCalendario,3,1),2)</definedName>
    <definedName name="MayDom1">DATE(AñoCalendario,5,1)-WEEKDAY(DATE(AñoCalendario,5,1),2)</definedName>
    <definedName name="NovDom1">DATE(AñoCalendario,11,1)-WEEKDAY(DATE(AñoCalendario,11,1),2)</definedName>
    <definedName name="OctDom1">DATE(AñoCalendario,10,1)-WEEKDAY(DATE(AñoCalendario,10,1),2)</definedName>
    <definedName name="SepDom1">DATE(AñoCalendario,9,1)-WEEKDAY(DATE(AñoCalendario,9,1),2)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 l="1"/>
  <c r="Q55" i="1" l="1"/>
  <c r="P55" i="1"/>
  <c r="O55" i="1"/>
  <c r="N55" i="1"/>
  <c r="M55" i="1"/>
  <c r="L55" i="1"/>
  <c r="K55" i="1"/>
  <c r="Q54" i="1"/>
  <c r="P54" i="1"/>
  <c r="O54" i="1"/>
  <c r="N54" i="1"/>
  <c r="M54" i="1"/>
  <c r="L54" i="1"/>
  <c r="K54" i="1"/>
  <c r="Q53" i="1"/>
  <c r="P53" i="1"/>
  <c r="O53" i="1"/>
  <c r="N53" i="1"/>
  <c r="M53" i="1"/>
  <c r="L53" i="1"/>
  <c r="K53" i="1"/>
  <c r="Q52" i="1"/>
  <c r="P52" i="1"/>
  <c r="O52" i="1"/>
  <c r="N52" i="1"/>
  <c r="M52" i="1"/>
  <c r="L52" i="1"/>
  <c r="K52" i="1"/>
  <c r="Q51" i="1"/>
  <c r="P51" i="1"/>
  <c r="O51" i="1"/>
  <c r="N51" i="1"/>
  <c r="M51" i="1"/>
  <c r="L51" i="1"/>
  <c r="K51" i="1"/>
  <c r="Q50" i="1"/>
  <c r="P50" i="1"/>
  <c r="O50" i="1"/>
  <c r="N50" i="1"/>
  <c r="M50" i="1"/>
  <c r="L50" i="1"/>
  <c r="K50" i="1"/>
  <c r="I55" i="1"/>
  <c r="H55" i="1"/>
  <c r="G55" i="1"/>
  <c r="F55" i="1"/>
  <c r="E55" i="1"/>
  <c r="D55" i="1"/>
  <c r="C55" i="1"/>
  <c r="I54" i="1"/>
  <c r="H54" i="1"/>
  <c r="G54" i="1"/>
  <c r="F54" i="1"/>
  <c r="E54" i="1"/>
  <c r="D54" i="1"/>
  <c r="C54" i="1"/>
  <c r="I53" i="1"/>
  <c r="H53" i="1"/>
  <c r="G53" i="1"/>
  <c r="F53" i="1"/>
  <c r="E53" i="1"/>
  <c r="D53" i="1"/>
  <c r="C53" i="1"/>
  <c r="I52" i="1"/>
  <c r="H52" i="1"/>
  <c r="G52" i="1"/>
  <c r="F52" i="1"/>
  <c r="E52" i="1"/>
  <c r="D52" i="1"/>
  <c r="C52" i="1"/>
  <c r="I51" i="1"/>
  <c r="H51" i="1"/>
  <c r="G51" i="1"/>
  <c r="F51" i="1"/>
  <c r="E51" i="1"/>
  <c r="D51" i="1"/>
  <c r="C51" i="1"/>
  <c r="I50" i="1"/>
  <c r="H50" i="1"/>
  <c r="G50" i="1"/>
  <c r="F50" i="1"/>
  <c r="E50" i="1"/>
  <c r="D50" i="1"/>
  <c r="C50" i="1"/>
  <c r="Q46" i="1"/>
  <c r="P46" i="1"/>
  <c r="O46" i="1"/>
  <c r="N46" i="1"/>
  <c r="M46" i="1"/>
  <c r="L46" i="1"/>
  <c r="K46" i="1"/>
  <c r="Q45" i="1"/>
  <c r="P45" i="1"/>
  <c r="O45" i="1"/>
  <c r="N45" i="1"/>
  <c r="M45" i="1"/>
  <c r="L45" i="1"/>
  <c r="K45" i="1"/>
  <c r="Q44" i="1"/>
  <c r="P44" i="1"/>
  <c r="O44" i="1"/>
  <c r="N44" i="1"/>
  <c r="M44" i="1"/>
  <c r="L44" i="1"/>
  <c r="K44" i="1"/>
  <c r="Q43" i="1"/>
  <c r="P43" i="1"/>
  <c r="O43" i="1"/>
  <c r="N43" i="1"/>
  <c r="M43" i="1"/>
  <c r="L43" i="1"/>
  <c r="K43" i="1"/>
  <c r="Q42" i="1"/>
  <c r="P42" i="1"/>
  <c r="O42" i="1"/>
  <c r="N42" i="1"/>
  <c r="M42" i="1"/>
  <c r="L42" i="1"/>
  <c r="K42" i="1"/>
  <c r="Q41" i="1"/>
  <c r="P41" i="1"/>
  <c r="O41" i="1"/>
  <c r="N41" i="1"/>
  <c r="M41" i="1"/>
  <c r="L41" i="1"/>
  <c r="K41" i="1"/>
  <c r="I46" i="1"/>
  <c r="H46" i="1"/>
  <c r="G46" i="1"/>
  <c r="F46" i="1"/>
  <c r="E46" i="1"/>
  <c r="D46" i="1"/>
  <c r="C46" i="1"/>
  <c r="I45" i="1"/>
  <c r="H45" i="1"/>
  <c r="G45" i="1"/>
  <c r="F45" i="1"/>
  <c r="E45" i="1"/>
  <c r="D45" i="1"/>
  <c r="C45" i="1"/>
  <c r="I44" i="1"/>
  <c r="H44" i="1"/>
  <c r="G44" i="1"/>
  <c r="F44" i="1"/>
  <c r="E44" i="1"/>
  <c r="D44" i="1"/>
  <c r="C44" i="1"/>
  <c r="I43" i="1"/>
  <c r="H43" i="1"/>
  <c r="G43" i="1"/>
  <c r="F43" i="1"/>
  <c r="E43" i="1"/>
  <c r="D43" i="1"/>
  <c r="C43" i="1"/>
  <c r="I42" i="1"/>
  <c r="H42" i="1"/>
  <c r="G42" i="1"/>
  <c r="F42" i="1"/>
  <c r="E42" i="1"/>
  <c r="D42" i="1"/>
  <c r="C42" i="1"/>
  <c r="I41" i="1"/>
  <c r="H41" i="1"/>
  <c r="G41" i="1"/>
  <c r="F41" i="1"/>
  <c r="E41" i="1"/>
  <c r="D41" i="1"/>
  <c r="C41" i="1"/>
  <c r="Q37" i="1"/>
  <c r="P37" i="1"/>
  <c r="O37" i="1"/>
  <c r="N37" i="1"/>
  <c r="M37" i="1"/>
  <c r="L37" i="1"/>
  <c r="K37" i="1"/>
  <c r="Q36" i="1"/>
  <c r="P36" i="1"/>
  <c r="O36" i="1"/>
  <c r="N36" i="1"/>
  <c r="M36" i="1"/>
  <c r="L36" i="1"/>
  <c r="K36" i="1"/>
  <c r="Q35" i="1"/>
  <c r="P35" i="1"/>
  <c r="O35" i="1"/>
  <c r="N35" i="1"/>
  <c r="M35" i="1"/>
  <c r="L35" i="1"/>
  <c r="K35" i="1"/>
  <c r="Q34" i="1"/>
  <c r="P34" i="1"/>
  <c r="O34" i="1"/>
  <c r="N34" i="1"/>
  <c r="M34" i="1"/>
  <c r="L34" i="1"/>
  <c r="K34" i="1"/>
  <c r="Q33" i="1"/>
  <c r="P33" i="1"/>
  <c r="O33" i="1"/>
  <c r="N33" i="1"/>
  <c r="M33" i="1"/>
  <c r="L33" i="1"/>
  <c r="K33" i="1"/>
  <c r="Q32" i="1"/>
  <c r="P32" i="1"/>
  <c r="O32" i="1"/>
  <c r="N32" i="1"/>
  <c r="M32" i="1"/>
  <c r="L32" i="1"/>
  <c r="K32" i="1"/>
  <c r="I37" i="1"/>
  <c r="H37" i="1"/>
  <c r="G37" i="1"/>
  <c r="F37" i="1"/>
  <c r="E37" i="1"/>
  <c r="D37" i="1"/>
  <c r="C37" i="1"/>
  <c r="I36" i="1"/>
  <c r="H36" i="1"/>
  <c r="G36" i="1"/>
  <c r="F36" i="1"/>
  <c r="E36" i="1"/>
  <c r="D36" i="1"/>
  <c r="C36" i="1"/>
  <c r="I35" i="1"/>
  <c r="H35" i="1"/>
  <c r="G35" i="1"/>
  <c r="F35" i="1"/>
  <c r="E35" i="1"/>
  <c r="D35" i="1"/>
  <c r="C35" i="1"/>
  <c r="I34" i="1"/>
  <c r="H34" i="1"/>
  <c r="G34" i="1"/>
  <c r="F34" i="1"/>
  <c r="E34" i="1"/>
  <c r="D34" i="1"/>
  <c r="C34" i="1"/>
  <c r="I33" i="1"/>
  <c r="H33" i="1"/>
  <c r="G33" i="1"/>
  <c r="F33" i="1"/>
  <c r="E33" i="1"/>
  <c r="D33" i="1"/>
  <c r="C33" i="1"/>
  <c r="I32" i="1"/>
  <c r="H32" i="1"/>
  <c r="G32" i="1"/>
  <c r="F32" i="1"/>
  <c r="E32" i="1"/>
  <c r="D32" i="1"/>
  <c r="C32" i="1"/>
  <c r="Q28" i="1"/>
  <c r="P28" i="1"/>
  <c r="O28" i="1"/>
  <c r="N28" i="1"/>
  <c r="M28" i="1"/>
  <c r="L28" i="1"/>
  <c r="K28" i="1"/>
  <c r="Q27" i="1"/>
  <c r="P27" i="1"/>
  <c r="O27" i="1"/>
  <c r="N27" i="1"/>
  <c r="M27" i="1"/>
  <c r="L27" i="1"/>
  <c r="K27" i="1"/>
  <c r="Q26" i="1"/>
  <c r="P26" i="1"/>
  <c r="O26" i="1"/>
  <c r="N26" i="1"/>
  <c r="M26" i="1"/>
  <c r="L26" i="1"/>
  <c r="K26" i="1"/>
  <c r="Q25" i="1"/>
  <c r="P25" i="1"/>
  <c r="O25" i="1"/>
  <c r="N25" i="1"/>
  <c r="M25" i="1"/>
  <c r="L25" i="1"/>
  <c r="K25" i="1"/>
  <c r="Q24" i="1"/>
  <c r="P24" i="1"/>
  <c r="O24" i="1"/>
  <c r="N24" i="1"/>
  <c r="M24" i="1"/>
  <c r="L24" i="1"/>
  <c r="K24" i="1"/>
  <c r="Q23" i="1"/>
  <c r="P23" i="1"/>
  <c r="O23" i="1"/>
  <c r="N23" i="1"/>
  <c r="M23" i="1"/>
  <c r="L23" i="1"/>
  <c r="K23" i="1"/>
  <c r="I28" i="1"/>
  <c r="H28" i="1"/>
  <c r="G28" i="1"/>
  <c r="F28" i="1"/>
  <c r="E28" i="1"/>
  <c r="D28" i="1"/>
  <c r="C28" i="1"/>
  <c r="I27" i="1"/>
  <c r="H27" i="1"/>
  <c r="G27" i="1"/>
  <c r="F27" i="1"/>
  <c r="E27" i="1"/>
  <c r="D27" i="1"/>
  <c r="C27" i="1"/>
  <c r="I26" i="1"/>
  <c r="H26" i="1"/>
  <c r="G26" i="1"/>
  <c r="F26" i="1"/>
  <c r="E26" i="1"/>
  <c r="D26" i="1"/>
  <c r="C26" i="1"/>
  <c r="I25" i="1"/>
  <c r="H25" i="1"/>
  <c r="G25" i="1"/>
  <c r="F25" i="1"/>
  <c r="E25" i="1"/>
  <c r="D25" i="1"/>
  <c r="C25" i="1"/>
  <c r="I24" i="1"/>
  <c r="H24" i="1"/>
  <c r="G24" i="1"/>
  <c r="F24" i="1"/>
  <c r="E24" i="1"/>
  <c r="D24" i="1"/>
  <c r="C24" i="1"/>
  <c r="I23" i="1"/>
  <c r="H23" i="1"/>
  <c r="G23" i="1"/>
  <c r="F23" i="1"/>
  <c r="E23" i="1"/>
  <c r="D23" i="1"/>
  <c r="C23" i="1"/>
  <c r="Q19" i="1"/>
  <c r="P19" i="1"/>
  <c r="O19" i="1"/>
  <c r="N19" i="1"/>
  <c r="M19" i="1"/>
  <c r="L19" i="1"/>
  <c r="K19" i="1"/>
  <c r="Q18" i="1"/>
  <c r="P18" i="1"/>
  <c r="O18" i="1"/>
  <c r="N18" i="1"/>
  <c r="M18" i="1"/>
  <c r="L18" i="1"/>
  <c r="K18" i="1"/>
  <c r="Q17" i="1"/>
  <c r="P17" i="1"/>
  <c r="O17" i="1"/>
  <c r="N17" i="1"/>
  <c r="M17" i="1"/>
  <c r="L17" i="1"/>
  <c r="K17" i="1"/>
  <c r="Q16" i="1"/>
  <c r="P16" i="1"/>
  <c r="O16" i="1"/>
  <c r="N16" i="1"/>
  <c r="M16" i="1"/>
  <c r="L16" i="1"/>
  <c r="K16" i="1"/>
  <c r="Q15" i="1"/>
  <c r="P15" i="1"/>
  <c r="O15" i="1"/>
  <c r="N15" i="1"/>
  <c r="M15" i="1"/>
  <c r="L15" i="1"/>
  <c r="K15" i="1"/>
  <c r="Q14" i="1"/>
  <c r="P14" i="1"/>
  <c r="O14" i="1"/>
  <c r="N14" i="1"/>
  <c r="M14" i="1"/>
  <c r="L14" i="1"/>
  <c r="K14" i="1"/>
  <c r="I19" i="1"/>
  <c r="H19" i="1"/>
  <c r="G19" i="1"/>
  <c r="F19" i="1"/>
  <c r="E19" i="1"/>
  <c r="D19" i="1"/>
  <c r="C19" i="1"/>
  <c r="I18" i="1"/>
  <c r="H18" i="1"/>
  <c r="G18" i="1"/>
  <c r="F18" i="1"/>
  <c r="E18" i="1"/>
  <c r="D18" i="1"/>
  <c r="C18" i="1"/>
  <c r="I17" i="1"/>
  <c r="H17" i="1"/>
  <c r="G17" i="1"/>
  <c r="F17" i="1"/>
  <c r="E17" i="1"/>
  <c r="D17" i="1"/>
  <c r="C17" i="1"/>
  <c r="I16" i="1"/>
  <c r="H16" i="1"/>
  <c r="G16" i="1"/>
  <c r="F16" i="1"/>
  <c r="E16" i="1"/>
  <c r="D16" i="1"/>
  <c r="C16" i="1"/>
  <c r="I15" i="1"/>
  <c r="H15" i="1"/>
  <c r="G15" i="1"/>
  <c r="F15" i="1"/>
  <c r="E15" i="1"/>
  <c r="D15" i="1"/>
  <c r="C15" i="1"/>
  <c r="I14" i="1"/>
  <c r="H14" i="1"/>
  <c r="G14" i="1"/>
  <c r="F14" i="1"/>
  <c r="E14" i="1"/>
  <c r="D14" i="1"/>
  <c r="C14" i="1"/>
  <c r="Q10" i="1"/>
  <c r="P10" i="1"/>
  <c r="O10" i="1"/>
  <c r="N10" i="1"/>
  <c r="M10" i="1"/>
  <c r="L10" i="1"/>
  <c r="K10" i="1"/>
  <c r="Q9" i="1"/>
  <c r="P9" i="1"/>
  <c r="O9" i="1"/>
  <c r="N9" i="1"/>
  <c r="M9" i="1"/>
  <c r="L9" i="1"/>
  <c r="K9" i="1"/>
  <c r="Q8" i="1"/>
  <c r="P8" i="1"/>
  <c r="O8" i="1"/>
  <c r="N8" i="1"/>
  <c r="M8" i="1"/>
  <c r="L8" i="1"/>
  <c r="K8" i="1"/>
  <c r="Q7" i="1"/>
  <c r="P7" i="1"/>
  <c r="O7" i="1"/>
  <c r="N7" i="1"/>
  <c r="M7" i="1"/>
  <c r="L7" i="1"/>
  <c r="K7" i="1"/>
  <c r="Q6" i="1"/>
  <c r="P6" i="1"/>
  <c r="O6" i="1"/>
  <c r="N6" i="1"/>
  <c r="M6" i="1"/>
  <c r="L6" i="1"/>
  <c r="K6" i="1"/>
  <c r="Q5" i="1"/>
  <c r="P5" i="1"/>
  <c r="O5" i="1"/>
  <c r="N5" i="1"/>
  <c r="M5" i="1"/>
  <c r="L5" i="1"/>
  <c r="K5" i="1"/>
  <c r="I10" i="1"/>
  <c r="H10" i="1"/>
  <c r="G10" i="1"/>
  <c r="F10" i="1"/>
  <c r="E10" i="1"/>
  <c r="D10" i="1"/>
  <c r="C10" i="1"/>
  <c r="I9" i="1"/>
  <c r="H9" i="1"/>
  <c r="G9" i="1"/>
  <c r="F9" i="1"/>
  <c r="E9" i="1"/>
  <c r="D9" i="1"/>
  <c r="C9" i="1"/>
  <c r="I8" i="1"/>
  <c r="H8" i="1"/>
  <c r="G8" i="1"/>
  <c r="F8" i="1"/>
  <c r="E8" i="1"/>
  <c r="D8" i="1"/>
  <c r="C8" i="1"/>
  <c r="I7" i="1"/>
  <c r="H7" i="1"/>
  <c r="F7" i="1"/>
  <c r="E7" i="1"/>
  <c r="D7" i="1"/>
  <c r="C7" i="1"/>
  <c r="I6" i="1"/>
  <c r="H6" i="1"/>
  <c r="G6" i="1"/>
  <c r="F6" i="1"/>
  <c r="E6" i="1"/>
  <c r="D6" i="1"/>
  <c r="C6" i="1"/>
  <c r="I5" i="1"/>
  <c r="H5" i="1"/>
  <c r="G5" i="1"/>
  <c r="F5" i="1"/>
  <c r="E5" i="1"/>
  <c r="D5" i="1"/>
  <c r="C5" i="1"/>
</calcChain>
</file>

<file path=xl/sharedStrings.xml><?xml version="1.0" encoding="utf-8"?>
<sst xmlns="http://schemas.openxmlformats.org/spreadsheetml/2006/main" count="166" uniqueCount="72">
  <si>
    <t>ENERO</t>
  </si>
  <si>
    <t>LUN</t>
  </si>
  <si>
    <t>MARZO</t>
  </si>
  <si>
    <t>MAYO</t>
  </si>
  <si>
    <t>JULIO</t>
  </si>
  <si>
    <t>SEPTIEMBRE</t>
  </si>
  <si>
    <t>NOVIEMBRE</t>
  </si>
  <si>
    <t>MAR</t>
  </si>
  <si>
    <t>MIÉ</t>
  </si>
  <si>
    <t>JUE</t>
  </si>
  <si>
    <t>VIE</t>
  </si>
  <si>
    <t>SÁB</t>
  </si>
  <si>
    <t>DOM</t>
  </si>
  <si>
    <t>FEBRERO</t>
  </si>
  <si>
    <t>ABRIL</t>
  </si>
  <si>
    <t>JUNIO</t>
  </si>
  <si>
    <t>AGOSTO</t>
  </si>
  <si>
    <t>OCTUBRE</t>
  </si>
  <si>
    <t>DICIEMBRE</t>
  </si>
  <si>
    <t>FECHAS IMPORTANTES</t>
  </si>
  <si>
    <t>El marcador de posición del logotipo se encuentra en esta celda.</t>
  </si>
  <si>
    <t>2 SEM</t>
  </si>
  <si>
    <t>3 SEM</t>
  </si>
  <si>
    <t>4 SEM</t>
  </si>
  <si>
    <t>1 SEM</t>
  </si>
  <si>
    <t xml:space="preserve">DEL 05 AL 11 DE OCTUBRE DE 2020 </t>
  </si>
  <si>
    <t>DEL 06 AL 12 DE ABRIL DE 2020</t>
  </si>
  <si>
    <t>DEL 07 AL 17 DE ENERO DE 2020</t>
  </si>
  <si>
    <t>DEL 30 DE NOVIEMBRE AL 06 DE DICIEMBRE DE 2020</t>
  </si>
  <si>
    <t>DESARROLLO INSTITUCIONAL</t>
  </si>
  <si>
    <t>PERIODOS ACADEMICOS</t>
  </si>
  <si>
    <t>1 PER</t>
  </si>
  <si>
    <t>2 PER</t>
  </si>
  <si>
    <t>3 PER</t>
  </si>
  <si>
    <t>4 PER</t>
  </si>
  <si>
    <t>DEL 20 DE ENERO AL 25 DE MARZO DE 2020</t>
  </si>
  <si>
    <t>DEL 26 DE MARZO AL 10 DE JUNIO DE 2020</t>
  </si>
  <si>
    <t>VACACIONES DE ESTUDIANTES</t>
  </si>
  <si>
    <t>DEL 30 DE NOVIEMBRE AL 03 DE ENERO 2021</t>
  </si>
  <si>
    <t>DEL 07 DICIEMBRE AL 03 DE ENERO DE 2021</t>
  </si>
  <si>
    <t>VACACIONES DE DOCENTES-DIRECTIVOS</t>
  </si>
  <si>
    <t>CALENDARIO ESCOLAR</t>
  </si>
  <si>
    <t>DEL 09 DE JUNIO AL 03 DE SEPTIEMBRE 2020</t>
  </si>
  <si>
    <t>DEL 04 DE SEPTIEMBRE AL 13 DE NOVIEMBRE 2020</t>
  </si>
  <si>
    <t>DEL 06 AL 12 DE ABRIL 2020</t>
  </si>
  <si>
    <t>DEL 15 DE JUNIO AL 05 DE JULIO 2020</t>
  </si>
  <si>
    <t>DEL 05 AL 11 DE OCTUBRE 2020</t>
  </si>
  <si>
    <t>GRADOS</t>
  </si>
  <si>
    <t>CLAUSURA</t>
  </si>
  <si>
    <t>NIVELACIONES</t>
  </si>
  <si>
    <t>INICIO - TERMINACION DE CLASES</t>
  </si>
  <si>
    <t>INICIO: 20 DE ENERO DE 2020</t>
  </si>
  <si>
    <t>TERMINACION: 13 DE NOVIEMBRE 2020</t>
  </si>
  <si>
    <t>DEL 16 AL 20 DE NOVIEMBRE</t>
  </si>
  <si>
    <t>INSTITUTO TECNICO</t>
  </si>
  <si>
    <t>MARIO PEZZOTTI LEMUS</t>
  </si>
  <si>
    <t>ENTREGA DE BOLETINES</t>
  </si>
  <si>
    <t>DEL 13 AL 17 DE ABRIL</t>
  </si>
  <si>
    <t>DEL 13 AL 17 DE JULIO</t>
  </si>
  <si>
    <t>26 DE NOVIEMBRE</t>
  </si>
  <si>
    <t>FINAL</t>
  </si>
  <si>
    <t>COMISIONES DE EVALUACION Y PROMOCION</t>
  </si>
  <si>
    <t>ONCE: 27 NOVIEMBRE</t>
  </si>
  <si>
    <t>DEL 25 AL 26 DE NOVIEMBRE</t>
  </si>
  <si>
    <t>DEL 30 DE MARZO AL 03 DE ABRIL</t>
  </si>
  <si>
    <t>DEL 08 AL 12 DE JUNIO</t>
  </si>
  <si>
    <t>DEL 14 AL 18 SEPTIEMBRE</t>
  </si>
  <si>
    <t>DEL 09 AL 13 DE NOVIEMBRE</t>
  </si>
  <si>
    <t>23 DE NOVIEMBRE</t>
  </si>
  <si>
    <t>TRANSICION: 24 Y 25 DE NOVIEMBRE</t>
  </si>
  <si>
    <t>QUINTO: 24 Y 25 DE NOVIEMBRE</t>
  </si>
  <si>
    <t>DEL 21 AL 25 SEPTIEMBRE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</si>
</sst>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_);_(* \(#,##0\);_(* &quot;-&quot;_);_(@_)"/>
    <numFmt numFmtId="165" formatCode="_(* #,##0.00_);_(* \(#,##0.00\);_(* &quot;-&quot;??_);_(@_)"/>
    <numFmt numFmtId="166" formatCode="_-* #,##0\ &quot;€&quot;_-;\-* #,##0\ &quot;€&quot;_-;_-* &quot;-&quot;\ &quot;€&quot;_-;_-@_-"/>
    <numFmt numFmtId="167" formatCode="_-* #,##0.00\ &quot;€&quot;_-;\-* #,##0.00\ &quot;€&quot;_-;_-* &quot;-&quot;??\ &quot;€&quot;_-;_-@_-"/>
    <numFmt numFmtId="168" formatCode="d"/>
  </numFmts>
  <fonts count="39" x14ac:knownFonts="1"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ajor"/>
    </font>
    <font>
      <b/>
      <sz val="26"/>
      <color theme="0"/>
      <name val="Calibri"/>
      <family val="2"/>
      <scheme val="major"/>
    </font>
    <font>
      <sz val="8"/>
      <color theme="0"/>
      <name val="Calibri"/>
      <family val="2"/>
      <scheme val="minor"/>
    </font>
    <font>
      <b/>
      <sz val="13.5"/>
      <color theme="0"/>
      <name val="Calibri"/>
      <family val="2"/>
      <scheme val="major"/>
    </font>
    <font>
      <sz val="9"/>
      <color theme="8"/>
      <name val="Calibri"/>
      <family val="2"/>
      <scheme val="minor"/>
    </font>
    <font>
      <sz val="9"/>
      <color theme="1" tint="0.14999847407452621"/>
      <name val="Calibri"/>
      <family val="2"/>
      <scheme val="minor"/>
    </font>
    <font>
      <i/>
      <sz val="10"/>
      <color theme="8" tint="-0.499984740745262"/>
      <name val="Calibri"/>
      <family val="2"/>
      <scheme val="minor"/>
    </font>
    <font>
      <b/>
      <sz val="9.5"/>
      <color theme="8" tint="-0.499984740745262"/>
      <name val="Calibri"/>
      <family val="2"/>
      <scheme val="major"/>
    </font>
    <font>
      <sz val="9"/>
      <color theme="8" tint="-0.499984740745262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1"/>
      <name val="Calibri"/>
      <family val="2"/>
      <scheme val="major"/>
    </font>
    <font>
      <sz val="8"/>
      <color theme="1"/>
      <name val="Calibri"/>
      <family val="2"/>
      <scheme val="minor"/>
    </font>
    <font>
      <sz val="18"/>
      <color theme="3"/>
      <name val="Calibri"/>
      <family val="2"/>
      <scheme val="maj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Bookman Old Style"/>
      <family val="1"/>
    </font>
    <font>
      <sz val="10"/>
      <color theme="0"/>
      <name val="Calibri"/>
      <family val="2"/>
      <scheme val="minor"/>
    </font>
  </fonts>
  <fills count="4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theme="8"/>
      </top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8">
    <xf numFmtId="0" fontId="0" fillId="0" borderId="0"/>
    <xf numFmtId="0" fontId="13" fillId="0" borderId="2" applyNumberFormat="0" applyFill="0" applyAlignment="0" applyProtection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5" applyNumberFormat="0" applyAlignment="0" applyProtection="0"/>
    <xf numFmtId="0" fontId="25" fillId="6" borderId="6" applyNumberFormat="0" applyAlignment="0" applyProtection="0"/>
    <xf numFmtId="0" fontId="26" fillId="6" borderId="5" applyNumberFormat="0" applyAlignment="0" applyProtection="0"/>
    <xf numFmtId="0" fontId="27" fillId="0" borderId="7" applyNumberFormat="0" applyFill="0" applyAlignment="0" applyProtection="0"/>
    <xf numFmtId="0" fontId="28" fillId="7" borderId="8" applyNumberFormat="0" applyAlignment="0" applyProtection="0"/>
    <xf numFmtId="0" fontId="29" fillId="0" borderId="0" applyNumberFormat="0" applyFill="0" applyBorder="0" applyAlignment="0" applyProtection="0"/>
    <xf numFmtId="0" fontId="17" fillId="8" borderId="9" applyNumberFormat="0" applyFont="0" applyAlignment="0" applyProtection="0"/>
    <xf numFmtId="0" fontId="30" fillId="0" borderId="0" applyNumberFormat="0" applyFill="0" applyBorder="0" applyAlignment="0" applyProtection="0"/>
    <xf numFmtId="0" fontId="14" fillId="0" borderId="10" applyNumberFormat="0" applyFill="0" applyAlignment="0" applyProtection="0"/>
    <xf numFmtId="0" fontId="15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5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5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5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5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5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0" borderId="0"/>
  </cellStyleXfs>
  <cellXfs count="97">
    <xf numFmtId="0" fontId="0" fillId="0" borderId="0" xfId="0"/>
    <xf numFmtId="0" fontId="4" fillId="0" borderId="0" xfId="0" applyFont="1"/>
    <xf numFmtId="49" fontId="0" fillId="0" borderId="0" xfId="0" applyNumberFormat="1"/>
    <xf numFmtId="49" fontId="8" fillId="0" borderId="0" xfId="0" applyNumberFormat="1" applyFont="1"/>
    <xf numFmtId="49" fontId="0" fillId="0" borderId="0" xfId="0" applyNumberFormat="1" applyAlignment="1">
      <alignment horizontal="left"/>
    </xf>
    <xf numFmtId="49" fontId="9" fillId="0" borderId="0" xfId="0" applyNumberFormat="1" applyFont="1" applyAlignment="1">
      <alignment horizontal="left"/>
    </xf>
    <xf numFmtId="49" fontId="12" fillId="0" borderId="0" xfId="0" applyNumberFormat="1" applyFont="1"/>
    <xf numFmtId="0" fontId="6" fillId="0" borderId="0" xfId="0" applyFont="1"/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  <xf numFmtId="168" fontId="0" fillId="0" borderId="0" xfId="0" applyNumberFormat="1" applyAlignment="1">
      <alignment horizontal="center"/>
    </xf>
    <xf numFmtId="168" fontId="0" fillId="0" borderId="11" xfId="0" applyNumberFormat="1" applyBorder="1" applyAlignment="1">
      <alignment horizontal="center"/>
    </xf>
    <xf numFmtId="168" fontId="0" fillId="0" borderId="15" xfId="0" applyNumberFormat="1" applyBorder="1" applyAlignment="1">
      <alignment horizontal="center"/>
    </xf>
    <xf numFmtId="168" fontId="0" fillId="0" borderId="18" xfId="0" applyNumberFormat="1" applyBorder="1" applyAlignment="1">
      <alignment horizontal="center"/>
    </xf>
    <xf numFmtId="168" fontId="0" fillId="0" borderId="19" xfId="0" applyNumberFormat="1" applyBorder="1" applyAlignment="1">
      <alignment horizontal="center"/>
    </xf>
    <xf numFmtId="168" fontId="31" fillId="0" borderId="16" xfId="0" applyNumberFormat="1" applyFont="1" applyBorder="1" applyAlignment="1">
      <alignment horizontal="center"/>
    </xf>
    <xf numFmtId="168" fontId="31" fillId="0" borderId="11" xfId="0" applyNumberFormat="1" applyFont="1" applyBorder="1" applyAlignment="1">
      <alignment horizontal="center"/>
    </xf>
    <xf numFmtId="168" fontId="0" fillId="33" borderId="11" xfId="0" applyNumberFormat="1" applyFill="1" applyBorder="1" applyAlignment="1">
      <alignment horizontal="center"/>
    </xf>
    <xf numFmtId="0" fontId="33" fillId="0" borderId="11" xfId="0" applyFont="1" applyBorder="1" applyAlignment="1">
      <alignment horizontal="center"/>
    </xf>
    <xf numFmtId="0" fontId="34" fillId="0" borderId="11" xfId="0" applyFont="1" applyBorder="1" applyAlignment="1">
      <alignment horizontal="center"/>
    </xf>
    <xf numFmtId="0" fontId="33" fillId="0" borderId="12" xfId="0" applyFont="1" applyBorder="1" applyAlignment="1">
      <alignment horizontal="center"/>
    </xf>
    <xf numFmtId="0" fontId="33" fillId="0" borderId="13" xfId="0" applyFont="1" applyBorder="1" applyAlignment="1">
      <alignment horizontal="center"/>
    </xf>
    <xf numFmtId="0" fontId="34" fillId="0" borderId="14" xfId="0" applyFont="1" applyBorder="1" applyAlignment="1">
      <alignment horizontal="center"/>
    </xf>
    <xf numFmtId="0" fontId="15" fillId="34" borderId="0" xfId="0" applyFont="1" applyFill="1" applyAlignment="1">
      <alignment vertical="center"/>
    </xf>
    <xf numFmtId="0" fontId="6" fillId="34" borderId="0" xfId="0" applyFont="1" applyFill="1"/>
    <xf numFmtId="0" fontId="0" fillId="34" borderId="0" xfId="0" applyFill="1"/>
    <xf numFmtId="14" fontId="0" fillId="34" borderId="0" xfId="0" applyNumberFormat="1" applyFill="1"/>
    <xf numFmtId="168" fontId="0" fillId="33" borderId="17" xfId="0" applyNumberFormat="1" applyFill="1" applyBorder="1" applyAlignment="1">
      <alignment horizontal="center"/>
    </xf>
    <xf numFmtId="0" fontId="0" fillId="0" borderId="0" xfId="0" applyAlignment="1"/>
    <xf numFmtId="49" fontId="35" fillId="0" borderId="0" xfId="0" applyNumberFormat="1" applyFont="1" applyAlignment="1">
      <alignment horizontal="left"/>
    </xf>
    <xf numFmtId="0" fontId="36" fillId="0" borderId="0" xfId="0" applyFont="1"/>
    <xf numFmtId="0" fontId="6" fillId="35" borderId="0" xfId="0" applyFont="1" applyFill="1" applyAlignment="1">
      <alignment wrapText="1"/>
    </xf>
    <xf numFmtId="0" fontId="0" fillId="35" borderId="0" xfId="0" applyFill="1"/>
    <xf numFmtId="0" fontId="32" fillId="35" borderId="0" xfId="0" applyFont="1" applyFill="1" applyAlignment="1"/>
    <xf numFmtId="0" fontId="0" fillId="35" borderId="0" xfId="0" applyFill="1" applyAlignment="1"/>
    <xf numFmtId="0" fontId="36" fillId="0" borderId="0" xfId="0" applyFont="1" applyFill="1" applyBorder="1"/>
    <xf numFmtId="168" fontId="0" fillId="36" borderId="11" xfId="0" applyNumberFormat="1" applyFill="1" applyBorder="1" applyAlignment="1">
      <alignment horizontal="center"/>
    </xf>
    <xf numFmtId="168" fontId="0" fillId="36" borderId="15" xfId="0" applyNumberFormat="1" applyFill="1" applyBorder="1" applyAlignment="1">
      <alignment horizontal="center"/>
    </xf>
    <xf numFmtId="168" fontId="0" fillId="35" borderId="11" xfId="0" applyNumberFormat="1" applyFill="1" applyBorder="1" applyAlignment="1">
      <alignment horizontal="center"/>
    </xf>
    <xf numFmtId="168" fontId="0" fillId="35" borderId="17" xfId="0" applyNumberFormat="1" applyFill="1" applyBorder="1" applyAlignment="1">
      <alignment horizontal="center"/>
    </xf>
    <xf numFmtId="168" fontId="0" fillId="35" borderId="18" xfId="0" applyNumberFormat="1" applyFill="1" applyBorder="1" applyAlignment="1">
      <alignment horizontal="center"/>
    </xf>
    <xf numFmtId="49" fontId="0" fillId="35" borderId="0" xfId="0" applyNumberFormat="1" applyFill="1"/>
    <xf numFmtId="168" fontId="0" fillId="39" borderId="11" xfId="0" applyNumberFormat="1" applyFill="1" applyBorder="1" applyAlignment="1">
      <alignment horizontal="center"/>
    </xf>
    <xf numFmtId="168" fontId="0" fillId="39" borderId="15" xfId="0" applyNumberFormat="1" applyFill="1" applyBorder="1" applyAlignment="1">
      <alignment horizontal="center"/>
    </xf>
    <xf numFmtId="168" fontId="0" fillId="39" borderId="17" xfId="0" applyNumberFormat="1" applyFill="1" applyBorder="1" applyAlignment="1">
      <alignment horizontal="center"/>
    </xf>
    <xf numFmtId="168" fontId="0" fillId="40" borderId="11" xfId="0" applyNumberFormat="1" applyFill="1" applyBorder="1" applyAlignment="1">
      <alignment horizontal="center"/>
    </xf>
    <xf numFmtId="168" fontId="0" fillId="40" borderId="15" xfId="0" applyNumberFormat="1" applyFill="1" applyBorder="1" applyAlignment="1">
      <alignment horizontal="center"/>
    </xf>
    <xf numFmtId="0" fontId="36" fillId="0" borderId="0" xfId="0" applyFont="1" applyBorder="1" applyAlignment="1"/>
    <xf numFmtId="168" fontId="0" fillId="41" borderId="11" xfId="0" applyNumberFormat="1" applyFill="1" applyBorder="1" applyAlignment="1">
      <alignment horizontal="center"/>
    </xf>
    <xf numFmtId="168" fontId="0" fillId="42" borderId="11" xfId="0" applyNumberFormat="1" applyFill="1" applyBorder="1" applyAlignment="1">
      <alignment horizontal="center"/>
    </xf>
    <xf numFmtId="0" fontId="36" fillId="0" borderId="0" xfId="0" applyFont="1" applyFill="1" applyBorder="1" applyAlignment="1"/>
    <xf numFmtId="0" fontId="0" fillId="33" borderId="0" xfId="0" applyFill="1" applyAlignment="1"/>
    <xf numFmtId="49" fontId="9" fillId="33" borderId="0" xfId="0" applyNumberFormat="1" applyFont="1" applyFill="1" applyAlignment="1">
      <alignment horizontal="left"/>
    </xf>
    <xf numFmtId="49" fontId="35" fillId="33" borderId="0" xfId="0" applyNumberFormat="1" applyFont="1" applyFill="1" applyAlignment="1">
      <alignment horizontal="left"/>
    </xf>
    <xf numFmtId="168" fontId="31" fillId="40" borderId="11" xfId="0" applyNumberFormat="1" applyFont="1" applyFill="1" applyBorder="1" applyAlignment="1">
      <alignment horizontal="center"/>
    </xf>
    <xf numFmtId="49" fontId="36" fillId="33" borderId="0" xfId="0" applyNumberFormat="1" applyFont="1" applyFill="1" applyAlignment="1">
      <alignment horizontal="left"/>
    </xf>
    <xf numFmtId="168" fontId="0" fillId="43" borderId="11" xfId="0" applyNumberFormat="1" applyFill="1" applyBorder="1" applyAlignment="1">
      <alignment horizontal="center"/>
    </xf>
    <xf numFmtId="49" fontId="35" fillId="37" borderId="0" xfId="0" applyNumberFormat="1" applyFont="1" applyFill="1" applyAlignment="1">
      <alignment horizontal="left"/>
    </xf>
    <xf numFmtId="49" fontId="36" fillId="45" borderId="0" xfId="0" applyNumberFormat="1" applyFont="1" applyFill="1" applyAlignment="1">
      <alignment horizontal="left"/>
    </xf>
    <xf numFmtId="49" fontId="9" fillId="45" borderId="0" xfId="0" applyNumberFormat="1" applyFont="1" applyFill="1" applyAlignment="1">
      <alignment horizontal="left"/>
    </xf>
    <xf numFmtId="49" fontId="12" fillId="45" borderId="1" xfId="0" applyNumberFormat="1" applyFont="1" applyFill="1" applyBorder="1"/>
    <xf numFmtId="0" fontId="36" fillId="45" borderId="0" xfId="0" applyFont="1" applyFill="1"/>
    <xf numFmtId="168" fontId="0" fillId="45" borderId="11" xfId="0" applyNumberFormat="1" applyFill="1" applyBorder="1" applyAlignment="1">
      <alignment horizontal="center"/>
    </xf>
    <xf numFmtId="0" fontId="35" fillId="0" borderId="0" xfId="0" applyFont="1" applyAlignment="1">
      <alignment horizontal="left"/>
    </xf>
    <xf numFmtId="0" fontId="35" fillId="0" borderId="0" xfId="0" applyFont="1"/>
    <xf numFmtId="49" fontId="6" fillId="0" borderId="0" xfId="0" applyNumberFormat="1" applyFont="1" applyAlignment="1">
      <alignment horizontal="center"/>
    </xf>
    <xf numFmtId="0" fontId="11" fillId="0" borderId="0" xfId="0" applyFont="1" applyAlignment="1">
      <alignment horizontal="left"/>
    </xf>
    <xf numFmtId="0" fontId="37" fillId="33" borderId="0" xfId="0" applyFont="1" applyFill="1" applyAlignment="1">
      <alignment horizontal="center"/>
    </xf>
    <xf numFmtId="0" fontId="37" fillId="44" borderId="0" xfId="0" applyFont="1" applyFill="1" applyAlignment="1">
      <alignment horizontal="center"/>
    </xf>
    <xf numFmtId="0" fontId="5" fillId="35" borderId="0" xfId="0" applyFont="1" applyFill="1" applyAlignment="1">
      <alignment horizontal="left" vertical="center"/>
    </xf>
    <xf numFmtId="0" fontId="11" fillId="0" borderId="0" xfId="0" applyFont="1"/>
    <xf numFmtId="0" fontId="10" fillId="34" borderId="0" xfId="0" applyFont="1" applyFill="1" applyAlignment="1">
      <alignment horizontal="left" vertical="center" indent="2"/>
    </xf>
    <xf numFmtId="0" fontId="5" fillId="35" borderId="0" xfId="0" applyFont="1" applyFill="1" applyAlignment="1">
      <alignment horizontal="center" vertical="center"/>
    </xf>
    <xf numFmtId="0" fontId="35" fillId="33" borderId="0" xfId="0" applyFont="1" applyFill="1" applyBorder="1" applyAlignment="1">
      <alignment horizontal="left"/>
    </xf>
    <xf numFmtId="49" fontId="35" fillId="37" borderId="0" xfId="0" applyNumberFormat="1" applyFont="1" applyFill="1" applyAlignment="1">
      <alignment horizontal="left"/>
    </xf>
    <xf numFmtId="0" fontId="15" fillId="44" borderId="16" xfId="0" applyFont="1" applyFill="1" applyBorder="1" applyAlignment="1">
      <alignment horizontal="center"/>
    </xf>
    <xf numFmtId="0" fontId="15" fillId="44" borderId="20" xfId="0" applyFont="1" applyFill="1" applyBorder="1" applyAlignment="1">
      <alignment horizontal="center"/>
    </xf>
    <xf numFmtId="0" fontId="15" fillId="44" borderId="15" xfId="0" applyFont="1" applyFill="1" applyBorder="1" applyAlignment="1">
      <alignment horizontal="center"/>
    </xf>
    <xf numFmtId="49" fontId="35" fillId="40" borderId="0" xfId="0" applyNumberFormat="1" applyFont="1" applyFill="1" applyAlignment="1">
      <alignment horizontal="left"/>
    </xf>
    <xf numFmtId="49" fontId="35" fillId="41" borderId="0" xfId="0" applyNumberFormat="1" applyFont="1" applyFill="1" applyAlignment="1"/>
    <xf numFmtId="49" fontId="36" fillId="39" borderId="0" xfId="0" applyNumberFormat="1" applyFont="1" applyFill="1" applyAlignment="1">
      <alignment horizontal="left"/>
    </xf>
    <xf numFmtId="0" fontId="7" fillId="35" borderId="22" xfId="0" applyFont="1" applyFill="1" applyBorder="1" applyAlignment="1">
      <alignment horizontal="center" vertical="center"/>
    </xf>
    <xf numFmtId="49" fontId="35" fillId="33" borderId="21" xfId="0" applyNumberFormat="1" applyFont="1" applyFill="1" applyBorder="1" applyAlignment="1">
      <alignment horizontal="left"/>
    </xf>
    <xf numFmtId="49" fontId="35" fillId="41" borderId="0" xfId="0" applyNumberFormat="1" applyFont="1" applyFill="1" applyAlignment="1">
      <alignment horizontal="left"/>
    </xf>
    <xf numFmtId="49" fontId="35" fillId="36" borderId="0" xfId="0" applyNumberFormat="1" applyFont="1" applyFill="1" applyAlignment="1">
      <alignment horizontal="left"/>
    </xf>
    <xf numFmtId="49" fontId="9" fillId="38" borderId="0" xfId="0" applyNumberFormat="1" applyFont="1" applyFill="1" applyAlignment="1">
      <alignment horizontal="left"/>
    </xf>
    <xf numFmtId="49" fontId="9" fillId="0" borderId="0" xfId="0" applyNumberFormat="1" applyFont="1" applyAlignment="1"/>
    <xf numFmtId="49" fontId="1" fillId="44" borderId="16" xfId="0" applyNumberFormat="1" applyFont="1" applyFill="1" applyBorder="1" applyAlignment="1">
      <alignment horizontal="center"/>
    </xf>
    <xf numFmtId="49" fontId="1" fillId="44" borderId="20" xfId="0" applyNumberFormat="1" applyFont="1" applyFill="1" applyBorder="1" applyAlignment="1">
      <alignment horizontal="center"/>
    </xf>
    <xf numFmtId="49" fontId="1" fillId="44" borderId="15" xfId="0" applyNumberFormat="1" applyFont="1" applyFill="1" applyBorder="1" applyAlignment="1">
      <alignment horizontal="center"/>
    </xf>
    <xf numFmtId="49" fontId="38" fillId="44" borderId="0" xfId="47" applyNumberFormat="1" applyFont="1" applyFill="1" applyBorder="1" applyAlignment="1">
      <alignment horizontal="center" vertical="center"/>
    </xf>
    <xf numFmtId="49" fontId="15" fillId="44" borderId="0" xfId="0" applyNumberFormat="1" applyFont="1" applyFill="1" applyBorder="1" applyAlignment="1">
      <alignment horizontal="center"/>
    </xf>
    <xf numFmtId="0" fontId="15" fillId="44" borderId="0" xfId="0" applyFont="1" applyFill="1" applyAlignment="1">
      <alignment horizontal="center"/>
    </xf>
    <xf numFmtId="0" fontId="36" fillId="0" borderId="0" xfId="0" applyFont="1" applyAlignment="1">
      <alignment horizontal="center"/>
    </xf>
    <xf numFmtId="49" fontId="36" fillId="36" borderId="0" xfId="0" applyNumberFormat="1" applyFont="1" applyFill="1" applyAlignment="1">
      <alignment horizontal="center"/>
    </xf>
    <xf numFmtId="49" fontId="36" fillId="43" borderId="0" xfId="0" applyNumberFormat="1" applyFont="1" applyFill="1" applyAlignment="1">
      <alignment horizontal="center"/>
    </xf>
    <xf numFmtId="49" fontId="35" fillId="42" borderId="22" xfId="0" applyNumberFormat="1" applyFont="1" applyFill="1" applyBorder="1" applyAlignment="1">
      <alignment horizontal="center"/>
    </xf>
  </cellXfs>
  <cellStyles count="48">
    <cellStyle name="20% - Énfasis1" xfId="24" builtinId="30" customBuiltin="1"/>
    <cellStyle name="20% - Énfasis2" xfId="28" builtinId="34" customBuiltin="1"/>
    <cellStyle name="20% - Énfasis3" xfId="32" builtinId="38" customBuiltin="1"/>
    <cellStyle name="20% - Énfasis4" xfId="36" builtinId="42" customBuiltin="1"/>
    <cellStyle name="20% - Énfasis5" xfId="40" builtinId="46" customBuiltin="1"/>
    <cellStyle name="20% - Énfasis6" xfId="44" builtinId="50" customBuiltin="1"/>
    <cellStyle name="40% - Énfasis1" xfId="25" builtinId="31" customBuiltin="1"/>
    <cellStyle name="40% - Énfasis2" xfId="29" builtinId="35" customBuiltin="1"/>
    <cellStyle name="40% - Énfasis3" xfId="33" builtinId="39" customBuiltin="1"/>
    <cellStyle name="40% - Énfasis4" xfId="37" builtinId="43" customBuiltin="1"/>
    <cellStyle name="40% - Énfasis5" xfId="41" builtinId="47" customBuiltin="1"/>
    <cellStyle name="40% - Énfasis6" xfId="45" builtinId="51" customBuiltin="1"/>
    <cellStyle name="60% - Énfasis1" xfId="26" builtinId="32" customBuiltin="1"/>
    <cellStyle name="60% - Énfasis2" xfId="30" builtinId="36" customBuiltin="1"/>
    <cellStyle name="60% - Énfasis3" xfId="34" builtinId="40" customBuiltin="1"/>
    <cellStyle name="60% - Énfasis4" xfId="38" builtinId="44" customBuiltin="1"/>
    <cellStyle name="60% - Énfasis5" xfId="42" builtinId="48" customBuiltin="1"/>
    <cellStyle name="60% - Énfasis6" xfId="46" builtinId="52" customBuiltin="1"/>
    <cellStyle name="Bueno" xfId="11" builtinId="26" customBuiltin="1"/>
    <cellStyle name="Cálculo" xfId="16" builtinId="22" customBuiltin="1"/>
    <cellStyle name="Celda de comprobación" xfId="18" builtinId="23" customBuiltin="1"/>
    <cellStyle name="Celda vinculada" xfId="17" builtinId="24" customBuiltin="1"/>
    <cellStyle name="Encabezado 1" xfId="8" builtinId="16" customBuiltin="1"/>
    <cellStyle name="Encabezado 4" xfId="10" builtinId="19" customBuiltin="1"/>
    <cellStyle name="Énfasis1" xfId="23" builtinId="29" customBuiltin="1"/>
    <cellStyle name="Énfasis2" xfId="27" builtinId="33" customBuiltin="1"/>
    <cellStyle name="Énfasis3" xfId="31" builtinId="37" customBuiltin="1"/>
    <cellStyle name="Énfasis4" xfId="35" builtinId="41" customBuiltin="1"/>
    <cellStyle name="Énfasis5" xfId="39" builtinId="45" customBuiltin="1"/>
    <cellStyle name="Énfasis6" xfId="43" builtinId="49" customBuiltin="1"/>
    <cellStyle name="Entrada" xfId="14" builtinId="20" customBuiltin="1"/>
    <cellStyle name="Incorrecto" xfId="12" builtinId="27" customBuiltin="1"/>
    <cellStyle name="Millares" xfId="2" builtinId="3" customBuiltin="1"/>
    <cellStyle name="Millares [0]" xfId="3" builtinId="6" customBuiltin="1"/>
    <cellStyle name="Moneda" xfId="4" builtinId="4" customBuiltin="1"/>
    <cellStyle name="Moneda [0]" xfId="5" builtinId="7" customBuiltin="1"/>
    <cellStyle name="Neutral" xfId="13" builtinId="28" customBuiltin="1"/>
    <cellStyle name="Normal" xfId="0" builtinId="0" customBuiltin="1"/>
    <cellStyle name="Normal 2" xfId="47" xr:uid="{00000000-0005-0000-0000-000026000000}"/>
    <cellStyle name="Notas" xfId="20" builtinId="10" customBuiltin="1"/>
    <cellStyle name="Porcentaje" xfId="6" builtinId="5" customBuiltin="1"/>
    <cellStyle name="Salida" xfId="15" builtinId="21" customBuiltin="1"/>
    <cellStyle name="Texto de advertencia" xfId="19" builtinId="11" customBuiltin="1"/>
    <cellStyle name="Texto explicativo" xfId="21" builtinId="53" customBuiltin="1"/>
    <cellStyle name="Título" xfId="7" builtinId="15" customBuiltin="1"/>
    <cellStyle name="Título 2" xfId="1" builtinId="17" customBuiltin="1"/>
    <cellStyle name="Título 3" xfId="9" builtinId="18" customBuiltin="1"/>
    <cellStyle name="Total" xfId="22" builtinId="25" customBuiltin="1"/>
  </cellStyles>
  <dxfs count="1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 tint="0.34998626667073579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8" formatCode="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color rgb="FFFFFFFF"/>
      </font>
      <fill>
        <patternFill>
          <bgColor rgb="FF595959"/>
        </patternFill>
      </fill>
    </dxf>
    <dxf>
      <font>
        <color rgb="FFFFFFFF"/>
      </font>
      <fill>
        <patternFill>
          <bgColor rgb="FFAA0061"/>
        </patternFill>
      </fill>
    </dxf>
    <dxf>
      <font>
        <color rgb="FFFFFFFF"/>
      </font>
      <fill>
        <patternFill>
          <bgColor rgb="FF795549"/>
        </patternFill>
      </fill>
    </dxf>
    <dxf>
      <font>
        <color rgb="FFFFFFFF"/>
      </font>
      <fill>
        <patternFill>
          <bgColor rgb="FFFE5722"/>
        </patternFill>
      </fill>
    </dxf>
    <dxf>
      <font>
        <color rgb="FFFFFFFF"/>
      </font>
      <fill>
        <patternFill>
          <bgColor rgb="FFFF9700"/>
        </patternFill>
      </fill>
    </dxf>
    <dxf>
      <font>
        <color rgb="FFFFFFFF"/>
      </font>
      <fill>
        <patternFill>
          <bgColor rgb="FFF1B801"/>
        </patternFill>
      </fill>
    </dxf>
    <dxf>
      <font>
        <color rgb="FFFFFFFF"/>
      </font>
      <fill>
        <patternFill>
          <bgColor rgb="FF8BC24A"/>
        </patternFill>
      </fill>
    </dxf>
    <dxf>
      <font>
        <color rgb="FFFFFFFF"/>
      </font>
      <fill>
        <patternFill>
          <bgColor rgb="FF4CAF52"/>
        </patternFill>
      </fill>
    </dxf>
    <dxf>
      <font>
        <color rgb="FFFFFFFF"/>
      </font>
      <fill>
        <patternFill>
          <bgColor rgb="FF009788"/>
        </patternFill>
      </fill>
    </dxf>
    <dxf>
      <font>
        <color rgb="FFFFFFFF"/>
      </font>
      <fill>
        <patternFill>
          <bgColor rgb="FF00BCD5"/>
        </patternFill>
      </fill>
    </dxf>
    <dxf>
      <font>
        <color rgb="FFFFFFFF"/>
      </font>
      <fill>
        <patternFill>
          <bgColor rgb="FF2196F3"/>
        </patternFill>
      </fill>
    </dxf>
    <dxf>
      <font>
        <color rgb="FFFFFFFF"/>
      </font>
      <fill>
        <patternFill>
          <bgColor rgb="FF3F51B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C$1" max="2999" min="1900" page="10" val="202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0</xdr:row>
          <xdr:rowOff>38100</xdr:rowOff>
        </xdr:from>
        <xdr:to>
          <xdr:col>1</xdr:col>
          <xdr:colOff>266700</xdr:colOff>
          <xdr:row>0</xdr:row>
          <xdr:rowOff>342900</xdr:rowOff>
        </xdr:to>
        <xdr:sp macro="" textlink="">
          <xdr:nvSpPr>
            <xdr:cNvPr id="1033" name="Control numérico" descr="Use el botón de control numérico para cambiar de año natural o escriba el año en la celda C1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xdr:twoCellAnchor editAs="oneCell">
    <xdr:from>
      <xdr:col>20</xdr:col>
      <xdr:colOff>351155</xdr:colOff>
      <xdr:row>48</xdr:row>
      <xdr:rowOff>131029</xdr:rowOff>
    </xdr:from>
    <xdr:to>
      <xdr:col>20</xdr:col>
      <xdr:colOff>1481666</xdr:colOff>
      <xdr:row>54</xdr:row>
      <xdr:rowOff>118540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1947" y="9465529"/>
          <a:ext cx="1130511" cy="113051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ctor%20Carrillo/Downloads/CALENDARIO%20ESCOLAR%20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leto"/>
    </sheetNames>
    <sheetDataSet>
      <sheetData sheetId="0">
        <row r="3">
          <cell r="B3">
            <v>43466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0000000}" name="Septiembre" displayName="Septiembre" ref="C40:I46" totalsRowShown="0" headerRowDxfId="116" dataDxfId="115">
  <autoFilter ref="C40:I46" xr:uid="{00000000-0009-0000-0100-000009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00000000-0010-0000-0000-000001000000}" name="LUN" dataDxfId="114"/>
    <tableColumn id="2" xr3:uid="{00000000-0010-0000-0000-000002000000}" name="MAR" dataDxfId="113"/>
    <tableColumn id="3" xr3:uid="{00000000-0010-0000-0000-000003000000}" name="MIÉ" dataDxfId="112"/>
    <tableColumn id="4" xr3:uid="{00000000-0010-0000-0000-000004000000}" name="JUE" dataDxfId="111"/>
    <tableColumn id="5" xr3:uid="{00000000-0010-0000-0000-000005000000}" name="VIE" dataDxfId="110"/>
    <tableColumn id="6" xr3:uid="{00000000-0010-0000-0000-000006000000}" name="SÁB" dataDxfId="109"/>
    <tableColumn id="7" xr3:uid="{00000000-0010-0000-0000-000007000000}" name="DOM" dataDxfId="108"/>
  </tableColumns>
  <tableStyleInfo showFirstColumn="0" showLastColumn="0" showRowStripes="0" showColumnStripes="0"/>
  <extLst>
    <ext xmlns:x14="http://schemas.microsoft.com/office/spreadsheetml/2009/9/main" uri="{504A1905-F514-4f6f-8877-14C23A59335A}">
      <x14:table altTextSummary="El calendario de septiembre en esta tabla se actualiza automáticamente con fechas y nombres de los días laborables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1000000}" name="Octubre" displayName="Octubre" ref="K40:Q46" totalsRowShown="0" headerRowDxfId="107" dataDxfId="106">
  <autoFilter ref="K40:Q46" xr:uid="{00000000-0009-0000-0100-00000A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00000000-0010-0000-0100-000001000000}" name="LUN" dataDxfId="105"/>
    <tableColumn id="2" xr3:uid="{00000000-0010-0000-0100-000002000000}" name="MAR" dataDxfId="104"/>
    <tableColumn id="3" xr3:uid="{00000000-0010-0000-0100-000003000000}" name="MIÉ" dataDxfId="103"/>
    <tableColumn id="4" xr3:uid="{00000000-0010-0000-0100-000004000000}" name="JUE" dataDxfId="102"/>
    <tableColumn id="5" xr3:uid="{00000000-0010-0000-0100-000005000000}" name="VIE" dataDxfId="101"/>
    <tableColumn id="6" xr3:uid="{00000000-0010-0000-0100-000006000000}" name="SÁB" dataDxfId="100"/>
    <tableColumn id="7" xr3:uid="{00000000-0010-0000-0100-000007000000}" name="DOM" dataDxfId="99"/>
  </tableColumns>
  <tableStyleInfo showFirstColumn="0" showLastColumn="0" showRowStripes="0" showColumnStripes="0"/>
  <extLst>
    <ext xmlns:x14="http://schemas.microsoft.com/office/spreadsheetml/2009/9/main" uri="{504A1905-F514-4f6f-8877-14C23A59335A}">
      <x14:table altTextSummary="El calendario de octubre en esta tabla se actualiza automáticamente con fechas y nombres de los días laborables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2000000}" name="Diciembre" displayName="Diciembre" ref="K49:Q55" totalsRowShown="0" headerRowDxfId="98" dataDxfId="97">
  <autoFilter ref="K49:Q55" xr:uid="{00000000-0009-0000-0100-00000B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00000000-0010-0000-0200-000001000000}" name="LUN" dataDxfId="96"/>
    <tableColumn id="2" xr3:uid="{00000000-0010-0000-0200-000002000000}" name="MAR" dataDxfId="95"/>
    <tableColumn id="3" xr3:uid="{00000000-0010-0000-0200-000003000000}" name="MIÉ" dataDxfId="94"/>
    <tableColumn id="4" xr3:uid="{00000000-0010-0000-0200-000004000000}" name="JUE" dataDxfId="93"/>
    <tableColumn id="5" xr3:uid="{00000000-0010-0000-0200-000005000000}" name="VIE" dataDxfId="92"/>
    <tableColumn id="6" xr3:uid="{00000000-0010-0000-0200-000006000000}" name="SÁB" dataDxfId="91"/>
    <tableColumn id="7" xr3:uid="{00000000-0010-0000-0200-000007000000}" name="DOM" dataDxfId="90"/>
  </tableColumns>
  <tableStyleInfo showFirstColumn="0" showLastColumn="0" showRowStripes="0" showColumnStripes="0"/>
  <extLst>
    <ext xmlns:x14="http://schemas.microsoft.com/office/spreadsheetml/2009/9/main" uri="{504A1905-F514-4f6f-8877-14C23A59335A}">
      <x14:table altTextSummary="El calendario de diciembre en esta tabla se actualiza automáticamente con fechas y nombres de los días laborables"/>
    </ext>
  </extLst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3000000}" name="Noviembre" displayName="Noviembre" ref="C49:I55" totalsRowShown="0" headerRowDxfId="89" dataDxfId="87" headerRowBorderDxfId="88" tableBorderDxfId="86" totalsRowBorderDxfId="85">
  <autoFilter ref="C49:I55" xr:uid="{00000000-0009-0000-0100-00000C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00000000-0010-0000-0300-000001000000}" name="LUN" dataDxfId="84"/>
    <tableColumn id="2" xr3:uid="{00000000-0010-0000-0300-000002000000}" name="MAR" dataDxfId="83"/>
    <tableColumn id="3" xr3:uid="{00000000-0010-0000-0300-000003000000}" name="MIÉ" dataDxfId="82"/>
    <tableColumn id="4" xr3:uid="{00000000-0010-0000-0300-000004000000}" name="JUE" dataDxfId="81"/>
    <tableColumn id="5" xr3:uid="{00000000-0010-0000-0300-000005000000}" name="VIE" dataDxfId="80"/>
    <tableColumn id="6" xr3:uid="{00000000-0010-0000-0300-000006000000}" name="SÁB" dataDxfId="79"/>
    <tableColumn id="7" xr3:uid="{00000000-0010-0000-0300-000007000000}" name="DOM" dataDxfId="78"/>
  </tableColumns>
  <tableStyleInfo showFirstColumn="0" showLastColumn="0" showRowStripes="0" showColumnStripes="0"/>
  <extLst>
    <ext xmlns:x14="http://schemas.microsoft.com/office/spreadsheetml/2009/9/main" uri="{504A1905-F514-4f6f-8877-14C23A59335A}">
      <x14:table altTextSummary="El calendario de noviembre en esta tabla se actualiza automáticamente con fechas y nombres de los días laborables"/>
    </ext>
  </extLst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4000000}" name="Agosto" displayName="Agosto" ref="K31:Q37" totalsRowShown="0" headerRowDxfId="77" dataDxfId="75" headerRowBorderDxfId="76" tableBorderDxfId="74" totalsRowBorderDxfId="73">
  <autoFilter ref="K31:Q37" xr:uid="{00000000-0009-0000-0100-00000D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00000000-0010-0000-0400-000001000000}" name="LUN" dataDxfId="72"/>
    <tableColumn id="2" xr3:uid="{00000000-0010-0000-0400-000002000000}" name="MAR" dataDxfId="71"/>
    <tableColumn id="3" xr3:uid="{00000000-0010-0000-0400-000003000000}" name="MIÉ" dataDxfId="70"/>
    <tableColumn id="4" xr3:uid="{00000000-0010-0000-0400-000004000000}" name="JUE" dataDxfId="69"/>
    <tableColumn id="5" xr3:uid="{00000000-0010-0000-0400-000005000000}" name="VIE" dataDxfId="68"/>
    <tableColumn id="6" xr3:uid="{00000000-0010-0000-0400-000006000000}" name="SÁB" dataDxfId="67"/>
    <tableColumn id="7" xr3:uid="{00000000-0010-0000-0400-000007000000}" name="DOM" dataDxfId="66"/>
  </tableColumns>
  <tableStyleInfo showFirstColumn="0" showLastColumn="0" showRowStripes="0" showColumnStripes="0"/>
  <extLst>
    <ext xmlns:x14="http://schemas.microsoft.com/office/spreadsheetml/2009/9/main" uri="{504A1905-F514-4f6f-8877-14C23A59335A}">
      <x14:table altTextSummary="El calendario de agosto en esta tabla se actualiza automáticamente con fechas y nombres de los días laborables"/>
    </ext>
  </extLst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5000000}" name="Julio" displayName="Julio" ref="C31:I37" totalsRowShown="0" headerRowDxfId="65" dataDxfId="64">
  <autoFilter ref="C31:I37" xr:uid="{00000000-0009-0000-0100-00000E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00000000-0010-0000-0500-000001000000}" name="LUN" dataDxfId="63"/>
    <tableColumn id="2" xr3:uid="{00000000-0010-0000-0500-000002000000}" name="MAR" dataDxfId="62"/>
    <tableColumn id="3" xr3:uid="{00000000-0010-0000-0500-000003000000}" name="MIÉ" dataDxfId="61"/>
    <tableColumn id="4" xr3:uid="{00000000-0010-0000-0500-000004000000}" name="JUE" dataDxfId="60"/>
    <tableColumn id="5" xr3:uid="{00000000-0010-0000-0500-000005000000}" name="VIE" dataDxfId="59"/>
    <tableColumn id="6" xr3:uid="{00000000-0010-0000-0500-000006000000}" name="SÁB" dataDxfId="58"/>
    <tableColumn id="7" xr3:uid="{00000000-0010-0000-0500-000007000000}" name="DOM" dataDxfId="57"/>
  </tableColumns>
  <tableStyleInfo showFirstColumn="0" showLastColumn="0" showRowStripes="0" showColumnStripes="0"/>
  <extLst>
    <ext xmlns:x14="http://schemas.microsoft.com/office/spreadsheetml/2009/9/main" uri="{504A1905-F514-4f6f-8877-14C23A59335A}">
      <x14:table altTextSummary="El calendario de julio en esta tabla se actualiza automáticamente con fechas y nombres de los días laborables"/>
    </ext>
  </extLst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6000000}" name="Junio" displayName="Junio" ref="K22:Q28" totalsRowShown="0" headerRowDxfId="56" dataDxfId="55">
  <autoFilter ref="K22:Q28" xr:uid="{00000000-0009-0000-0100-00000F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00000000-0010-0000-0600-000001000000}" name="LUN" dataDxfId="54"/>
    <tableColumn id="2" xr3:uid="{00000000-0010-0000-0600-000002000000}" name="MAR" dataDxfId="53"/>
    <tableColumn id="3" xr3:uid="{00000000-0010-0000-0600-000003000000}" name="MIÉ" dataDxfId="52"/>
    <tableColumn id="4" xr3:uid="{00000000-0010-0000-0600-000004000000}" name="JUE" dataDxfId="51"/>
    <tableColumn id="5" xr3:uid="{00000000-0010-0000-0600-000005000000}" name="VIE" dataDxfId="50"/>
    <tableColumn id="6" xr3:uid="{00000000-0010-0000-0600-000006000000}" name="SÁB" dataDxfId="49"/>
    <tableColumn id="7" xr3:uid="{00000000-0010-0000-0600-000007000000}" name="DOM" dataDxfId="48"/>
  </tableColumns>
  <tableStyleInfo showFirstColumn="0" showLastColumn="0" showRowStripes="0" showColumnStripes="0"/>
  <extLst>
    <ext xmlns:x14="http://schemas.microsoft.com/office/spreadsheetml/2009/9/main" uri="{504A1905-F514-4f6f-8877-14C23A59335A}">
      <x14:table altTextSummary="El calendario de junio en esta tabla se actualiza automáticamente con fechas y nombres de los días laborables"/>
    </ext>
  </extLst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7000000}" name="Mayo" displayName="Mayo" ref="C22:I28" totalsRowShown="0" headerRowDxfId="47" dataDxfId="46">
  <autoFilter ref="C22:I28" xr:uid="{00000000-0009-0000-0100-000010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00000000-0010-0000-0700-000001000000}" name="LUN" dataDxfId="45"/>
    <tableColumn id="2" xr3:uid="{00000000-0010-0000-0700-000002000000}" name="MAR" dataDxfId="44"/>
    <tableColumn id="3" xr3:uid="{00000000-0010-0000-0700-000003000000}" name="MIÉ" dataDxfId="43"/>
    <tableColumn id="4" xr3:uid="{00000000-0010-0000-0700-000004000000}" name="JUE" dataDxfId="42"/>
    <tableColumn id="5" xr3:uid="{00000000-0010-0000-0700-000005000000}" name="VIE" dataDxfId="41"/>
    <tableColumn id="6" xr3:uid="{00000000-0010-0000-0700-000006000000}" name="SÁB" dataDxfId="40"/>
    <tableColumn id="7" xr3:uid="{00000000-0010-0000-0700-000007000000}" name="DOM" dataDxfId="39"/>
  </tableColumns>
  <tableStyleInfo showFirstColumn="0" showLastColumn="0" showRowStripes="0" showColumnStripes="0"/>
  <extLst>
    <ext xmlns:x14="http://schemas.microsoft.com/office/spreadsheetml/2009/9/main" uri="{504A1905-F514-4f6f-8877-14C23A59335A}">
      <x14:table altTextSummary="El calendario de mayo en esta tabla se actualiza automáticamente con fechas y nombres de los días laborables"/>
    </ext>
  </extLst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8000000}" name="Marzo" displayName="Marzo" ref="C13:I19" totalsRowShown="0" headerRowDxfId="38" dataDxfId="36" headerRowBorderDxfId="37" tableBorderDxfId="35" totalsRowBorderDxfId="34">
  <autoFilter ref="C13:I19" xr:uid="{00000000-0009-0000-0100-00001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00000000-0010-0000-0800-000001000000}" name="LUN" dataDxfId="33"/>
    <tableColumn id="2" xr3:uid="{00000000-0010-0000-0800-000002000000}" name="MAR" dataDxfId="32"/>
    <tableColumn id="3" xr3:uid="{00000000-0010-0000-0800-000003000000}" name="MIÉ" dataDxfId="31"/>
    <tableColumn id="4" xr3:uid="{00000000-0010-0000-0800-000004000000}" name="JUE" dataDxfId="30"/>
    <tableColumn id="5" xr3:uid="{00000000-0010-0000-0800-000005000000}" name="VIE" dataDxfId="29"/>
    <tableColumn id="6" xr3:uid="{00000000-0010-0000-0800-000006000000}" name="SÁB" dataDxfId="28"/>
    <tableColumn id="7" xr3:uid="{00000000-0010-0000-0800-000007000000}" name="DOM" dataDxfId="27"/>
  </tableColumns>
  <tableStyleInfo showFirstColumn="0" showLastColumn="0" showRowStripes="0" showColumnStripes="0"/>
  <extLst>
    <ext xmlns:x14="http://schemas.microsoft.com/office/spreadsheetml/2009/9/main" uri="{504A1905-F514-4f6f-8877-14C23A59335A}">
      <x14:table altTextSummary="El calendario de marzo en esta tabla se actualiza automáticamente con fechas y nombres de los días laborables"/>
    </ext>
  </extLst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9000000}" name="Abril" displayName="Abril" ref="K13:Q19" totalsRowShown="0" headerRowDxfId="26" dataDxfId="25">
  <autoFilter ref="K13:Q19" xr:uid="{00000000-0009-0000-0100-00001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00000000-0010-0000-0900-000001000000}" name="LUN" dataDxfId="24"/>
    <tableColumn id="2" xr3:uid="{00000000-0010-0000-0900-000002000000}" name="MAR" dataDxfId="23"/>
    <tableColumn id="3" xr3:uid="{00000000-0010-0000-0900-000003000000}" name="MIÉ" dataDxfId="22"/>
    <tableColumn id="4" xr3:uid="{00000000-0010-0000-0900-000004000000}" name="JUE" dataDxfId="21"/>
    <tableColumn id="5" xr3:uid="{00000000-0010-0000-0900-000005000000}" name="VIE" dataDxfId="20"/>
    <tableColumn id="6" xr3:uid="{00000000-0010-0000-0900-000006000000}" name="SÁB" dataDxfId="19"/>
    <tableColumn id="7" xr3:uid="{00000000-0010-0000-0900-000007000000}" name="DOM" dataDxfId="18"/>
  </tableColumns>
  <tableStyleInfo showFirstColumn="0" showLastColumn="0" showRowStripes="0" showColumnStripes="0"/>
  <extLst>
    <ext xmlns:x14="http://schemas.microsoft.com/office/spreadsheetml/2009/9/main" uri="{504A1905-F514-4f6f-8877-14C23A59335A}">
      <x14:table altTextSummary="El calendario de abril en esta tabla se actualiza automáticamente con fechas y nombres de los días laborables"/>
    </ext>
  </extLst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0A000000}" name="Febrero" displayName="Febrero" ref="K4:Q10" totalsRowShown="0" headerRowDxfId="17" dataDxfId="16">
  <autoFilter ref="K4:Q10" xr:uid="{00000000-0009-0000-0100-00001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00000000-0010-0000-0A00-000001000000}" name="LUN" dataDxfId="15"/>
    <tableColumn id="2" xr3:uid="{00000000-0010-0000-0A00-000002000000}" name="MAR" dataDxfId="14"/>
    <tableColumn id="3" xr3:uid="{00000000-0010-0000-0A00-000003000000}" name="MIÉ" dataDxfId="13"/>
    <tableColumn id="4" xr3:uid="{00000000-0010-0000-0A00-000004000000}" name="JUE" dataDxfId="12"/>
    <tableColumn id="5" xr3:uid="{00000000-0010-0000-0A00-000005000000}" name="VIE" dataDxfId="11"/>
    <tableColumn id="6" xr3:uid="{00000000-0010-0000-0A00-000006000000}" name="SÁB" dataDxfId="10"/>
    <tableColumn id="7" xr3:uid="{00000000-0010-0000-0A00-000007000000}" name="DOM" dataDxfId="9"/>
  </tableColumns>
  <tableStyleInfo showFirstColumn="0" showLastColumn="0" showRowStripes="0" showColumnStripes="0"/>
  <extLst>
    <ext xmlns:x14="http://schemas.microsoft.com/office/spreadsheetml/2009/9/main" uri="{504A1905-F514-4f6f-8877-14C23A59335A}">
      <x14:table altTextSummary="El calendario de febrero en esta tabla se actualiza automáticamente con fechas y nombres de los días laborables "/>
    </ext>
  </extLst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0B000000}" name="Enero" displayName="Enero" ref="C4:I10" totalsRowShown="0" headerRowDxfId="8" dataDxfId="7">
  <autoFilter ref="C4:I10" xr:uid="{00000000-0009-0000-0100-00001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00000000-0010-0000-0B00-000001000000}" name="LUN" dataDxfId="6"/>
    <tableColumn id="2" xr3:uid="{00000000-0010-0000-0B00-000002000000}" name="MAR" dataDxfId="5"/>
    <tableColumn id="3" xr3:uid="{00000000-0010-0000-0B00-000003000000}" name="MIÉ" dataDxfId="4"/>
    <tableColumn id="4" xr3:uid="{00000000-0010-0000-0B00-000004000000}" name="JUE" dataDxfId="3"/>
    <tableColumn id="5" xr3:uid="{00000000-0010-0000-0B00-000005000000}" name="VIE" dataDxfId="2"/>
    <tableColumn id="6" xr3:uid="{00000000-0010-0000-0B00-000006000000}" name="SÁB" dataDxfId="1"/>
    <tableColumn id="7" xr3:uid="{00000000-0010-0000-0B00-000007000000}" name="DOM" dataDxfId="0"/>
  </tableColumns>
  <tableStyleInfo showFirstColumn="0" showLastColumn="0" showRowStripes="0" showColumnStripes="0"/>
  <extLst>
    <ext xmlns:x14="http://schemas.microsoft.com/office/spreadsheetml/2009/9/main" uri="{504A1905-F514-4f6f-8877-14C23A59335A}">
      <x14:table altTextSummary="El calendario de enero en esta tabla se actualiza automáticamente con fechas y nombres de los días laborables"/>
    </ext>
  </extLst>
</table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ivic">
  <a:themeElements>
    <a:clrScheme name="Small Business Calendar 2">
      <a:dk1>
        <a:sysClr val="windowText" lastClr="000000"/>
      </a:dk1>
      <a:lt1>
        <a:sysClr val="window" lastClr="FFFFFF"/>
      </a:lt1>
      <a:dk2>
        <a:srgbClr val="646B86"/>
      </a:dk2>
      <a:lt2>
        <a:srgbClr val="C5D1D7"/>
      </a:lt2>
      <a:accent1>
        <a:srgbClr val="D16349"/>
      </a:accent1>
      <a:accent2>
        <a:srgbClr val="CCB400"/>
      </a:accent2>
      <a:accent3>
        <a:srgbClr val="8CADAE"/>
      </a:accent3>
      <a:accent4>
        <a:srgbClr val="8C7B70"/>
      </a:accent4>
      <a:accent5>
        <a:srgbClr val="8FB08C"/>
      </a:accent5>
      <a:accent6>
        <a:srgbClr val="D19049"/>
      </a:accent6>
      <a:hlink>
        <a:srgbClr val="8FB08C"/>
      </a:hlink>
      <a:folHlink>
        <a:srgbClr val="694F07"/>
      </a:folHlink>
    </a:clrScheme>
    <a:fontScheme name="Custom 2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Civic">
      <a:fillStyleLst>
        <a:solidFill>
          <a:schemeClr val="phClr"/>
        </a:solidFill>
        <a:solidFill>
          <a:schemeClr val="phClr">
            <a:tint val="45000"/>
          </a:schemeClr>
        </a:solidFill>
        <a:solidFill>
          <a:schemeClr val="phClr">
            <a:tint val="95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1429" cap="flat" cmpd="sng" algn="ctr">
          <a:solidFill>
            <a:schemeClr val="phClr"/>
          </a:solidFill>
          <a:prstDash val="sysDash"/>
        </a:ln>
        <a:ln w="200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254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contourW="9525" prstMaterial="matte">
            <a:bevelT w="0" h="0"/>
            <a:contourClr>
              <a:schemeClr val="phClr">
                <a:shade val="70000"/>
                <a:satMod val="105000"/>
              </a:schemeClr>
            </a:contourClr>
          </a:sp3d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soft" dir="b">
              <a:rot lat="0" lon="0" rev="0"/>
            </a:lightRig>
          </a:scene3d>
          <a:sp3d prstMaterial="dkEdge">
            <a:bevelT w="63500" h="63500" prst="cross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70000"/>
                <a:satMod val="115000"/>
              </a:schemeClr>
              <a:schemeClr val="phClr">
                <a:tint val="85000"/>
              </a:schemeClr>
            </a:duotone>
          </a:blip>
          <a:tile tx="0" ty="0" sx="85000" sy="85000" flip="none" algn="tl"/>
        </a:blipFill>
        <a:blipFill>
          <a:blip xmlns:r="http://schemas.openxmlformats.org/officeDocument/2006/relationships" r:embed="rId2">
            <a:duotone>
              <a:schemeClr val="phClr">
                <a:shade val="65000"/>
                <a:satMod val="115000"/>
              </a:schemeClr>
              <a:schemeClr val="phClr">
                <a:tint val="85000"/>
              </a:schemeClr>
            </a:duotone>
          </a:blip>
          <a:tile tx="0" ty="0" sx="65000" sy="6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13" Type="http://schemas.openxmlformats.org/officeDocument/2006/relationships/table" Target="../tables/table9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12" Type="http://schemas.openxmlformats.org/officeDocument/2006/relationships/table" Target="../tables/table8.xml"/><Relationship Id="rId2" Type="http://schemas.openxmlformats.org/officeDocument/2006/relationships/drawing" Target="../drawings/drawing1.xml"/><Relationship Id="rId16" Type="http://schemas.openxmlformats.org/officeDocument/2006/relationships/table" Target="../tables/table1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11" Type="http://schemas.openxmlformats.org/officeDocument/2006/relationships/table" Target="../tables/table7.xml"/><Relationship Id="rId5" Type="http://schemas.openxmlformats.org/officeDocument/2006/relationships/table" Target="../tables/table1.xml"/><Relationship Id="rId15" Type="http://schemas.openxmlformats.org/officeDocument/2006/relationships/table" Target="../tables/table11.xml"/><Relationship Id="rId10" Type="http://schemas.openxmlformats.org/officeDocument/2006/relationships/table" Target="../tables/table6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5.xml"/><Relationship Id="rId14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  <pageSetUpPr fitToPage="1"/>
  </sheetPr>
  <dimension ref="A1:W69"/>
  <sheetViews>
    <sheetView showGridLines="0" tabSelected="1" topLeftCell="B1" zoomScale="120" zoomScaleNormal="120" workbookViewId="0">
      <selection activeCell="Y55" sqref="Y55"/>
    </sheetView>
  </sheetViews>
  <sheetFormatPr baseColWidth="10" defaultColWidth="9.375" defaultRowHeight="10.5" x14ac:dyDescent="0.25"/>
  <cols>
    <col min="1" max="1" width="2.375" style="7" customWidth="1"/>
    <col min="2" max="2" width="5.125" customWidth="1"/>
    <col min="3" max="3" width="6.875" customWidth="1"/>
    <col min="4" max="4" width="7.75" customWidth="1"/>
    <col min="5" max="5" width="6.375" customWidth="1"/>
    <col min="6" max="6" width="7.25" customWidth="1"/>
    <col min="7" max="7" width="6.875" customWidth="1"/>
    <col min="8" max="8" width="6" customWidth="1"/>
    <col min="9" max="9" width="6.375" customWidth="1"/>
    <col min="10" max="10" width="5" customWidth="1"/>
    <col min="11" max="17" width="6.375" customWidth="1"/>
    <col min="18" max="18" width="2.125" customWidth="1"/>
    <col min="19" max="19" width="2.75" customWidth="1"/>
    <col min="20" max="20" width="7.125" customWidth="1"/>
    <col min="21" max="21" width="35" customWidth="1"/>
    <col min="22" max="22" width="18.625" customWidth="1"/>
    <col min="23" max="23" width="3.625" customWidth="1"/>
    <col min="24" max="24" width="2.875" customWidth="1"/>
    <col min="25" max="43" width="9.25" customWidth="1"/>
    <col min="44" max="44" width="9.375" customWidth="1"/>
  </cols>
  <sheetData>
    <row r="1" spans="1:23" ht="30" customHeight="1" x14ac:dyDescent="0.25">
      <c r="A1" s="31"/>
      <c r="B1" s="32"/>
      <c r="C1" s="69">
        <v>2020</v>
      </c>
      <c r="D1" s="69"/>
      <c r="E1" s="69"/>
      <c r="F1" s="69"/>
      <c r="G1" s="72" t="s">
        <v>41</v>
      </c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81" t="s">
        <v>19</v>
      </c>
      <c r="U1" s="81"/>
      <c r="V1" s="81"/>
      <c r="W1" s="32"/>
    </row>
    <row r="2" spans="1:23" ht="15" customHeight="1" x14ac:dyDescent="0.35">
      <c r="A2" s="23"/>
      <c r="B2" s="71"/>
      <c r="C2" s="71"/>
      <c r="D2" s="71"/>
      <c r="E2" s="71"/>
      <c r="F2" s="71"/>
      <c r="G2" s="71"/>
      <c r="H2" s="71"/>
      <c r="I2" s="71"/>
      <c r="J2" s="71"/>
      <c r="K2" s="71"/>
      <c r="L2" s="25"/>
      <c r="M2" s="25"/>
      <c r="N2" s="25"/>
      <c r="O2" s="25"/>
      <c r="P2" s="25"/>
      <c r="Q2" s="25"/>
      <c r="R2" s="25"/>
      <c r="S2" s="25"/>
      <c r="T2" s="75" t="s">
        <v>29</v>
      </c>
      <c r="U2" s="76"/>
      <c r="V2" s="77"/>
      <c r="W2" s="33"/>
    </row>
    <row r="3" spans="1:23" ht="15" customHeight="1" x14ac:dyDescent="0.35">
      <c r="A3" s="24"/>
      <c r="C3" s="66" t="s">
        <v>0</v>
      </c>
      <c r="D3" s="66"/>
      <c r="E3" s="66"/>
      <c r="F3" s="66"/>
      <c r="G3" s="66"/>
      <c r="H3" s="66"/>
      <c r="I3" s="66"/>
      <c r="J3" s="1"/>
      <c r="K3" s="70" t="s">
        <v>13</v>
      </c>
      <c r="L3" s="70"/>
      <c r="M3" s="70"/>
      <c r="N3" s="70"/>
      <c r="O3" s="70"/>
      <c r="P3" s="70"/>
      <c r="Q3" s="70"/>
      <c r="S3" s="25"/>
      <c r="T3" s="30" t="s">
        <v>24</v>
      </c>
      <c r="U3" s="53" t="s">
        <v>27</v>
      </c>
      <c r="V3" s="51"/>
      <c r="W3" s="34"/>
    </row>
    <row r="4" spans="1:23" ht="15" customHeight="1" x14ac:dyDescent="0.3">
      <c r="A4" s="23"/>
      <c r="C4" s="18" t="s">
        <v>1</v>
      </c>
      <c r="D4" s="18" t="s">
        <v>7</v>
      </c>
      <c r="E4" s="18" t="s">
        <v>8</v>
      </c>
      <c r="F4" s="18" t="s">
        <v>9</v>
      </c>
      <c r="G4" s="18" t="s">
        <v>10</v>
      </c>
      <c r="H4" s="18" t="s">
        <v>11</v>
      </c>
      <c r="I4" s="19" t="s">
        <v>12</v>
      </c>
      <c r="J4" s="8"/>
      <c r="K4" s="18" t="s">
        <v>1</v>
      </c>
      <c r="L4" s="18" t="s">
        <v>7</v>
      </c>
      <c r="M4" s="18" t="s">
        <v>8</v>
      </c>
      <c r="N4" s="18" t="s">
        <v>9</v>
      </c>
      <c r="O4" s="18" t="s">
        <v>10</v>
      </c>
      <c r="P4" s="18" t="s">
        <v>11</v>
      </c>
      <c r="Q4" s="19" t="s">
        <v>12</v>
      </c>
      <c r="S4" s="25"/>
      <c r="T4" s="30" t="s">
        <v>21</v>
      </c>
      <c r="U4" s="52" t="s">
        <v>26</v>
      </c>
      <c r="V4" s="51"/>
      <c r="W4" s="34"/>
    </row>
    <row r="5" spans="1:23" ht="15" customHeight="1" x14ac:dyDescent="0.3">
      <c r="A5" s="23"/>
      <c r="C5" s="11" t="str">
        <f>IF(DAY(JanDom1)=1,"",IF(AND(YEAR(JanDom1+1)=AñoCalendario,MONTH(JanDom1+1)=1),JanDom1+1,""))</f>
        <v/>
      </c>
      <c r="D5" s="11" t="str">
        <f>IF(DAY(JanDom1)=1,"",IF(AND(YEAR(JanDom1+2)=AñoCalendario,MONTH(JanDom1+2)=1),JanDom1+2,""))</f>
        <v/>
      </c>
      <c r="E5" s="16">
        <f>IF(DAY(JanDom1)=1,"",IF(AND(YEAR(JanDom1+3)=AñoCalendario,MONTH(JanDom1+3)=1),JanDom1+3,""))</f>
        <v>43831</v>
      </c>
      <c r="F5" s="11">
        <f>IF(DAY(JanDom1)=1,"",IF(AND(YEAR(JanDom1+4)=AñoCalendario,MONTH(JanDom1+4)=1),JanDom1+4,""))</f>
        <v>43832</v>
      </c>
      <c r="G5" s="11">
        <f>IF(DAY(JanDom1)=1,"",IF(AND(YEAR(JanDom1+5)=AñoCalendario,MONTH(JanDom1+5)=1),JanDom1+5,""))</f>
        <v>43833</v>
      </c>
      <c r="H5" s="11">
        <f>IF(DAY(JanDom1)=1,"",IF(AND(YEAR(JanDom1+6)=AñoCalendario,MONTH(JanDom1+6)=1),JanDom1+6,""))</f>
        <v>43834</v>
      </c>
      <c r="I5" s="16">
        <f>IF(DAY(JanDom1)=1,IF(AND(YEAR(JanDom1)=AñoCalendario,MONTH(JanDom1)=1),JanDom1,""),IF(AND(YEAR(JanDom1+7)=AñoCalendario,MONTH(JanDom1+7)=1),JanDom1+7,""))</f>
        <v>43835</v>
      </c>
      <c r="J5" s="8"/>
      <c r="K5" s="11" t="str">
        <f>IF(DAY(FebDom1)=1,"",IF(AND(YEAR(FebDom1+1)=AñoCalendario,MONTH(FebDom1+1)=2),FebDom1+1,""))</f>
        <v/>
      </c>
      <c r="L5" s="11" t="str">
        <f>IF(DAY(FebDom1)=1,"",IF(AND(YEAR(FebDom1+2)=AñoCalendario,MONTH(FebDom1+2)=2),FebDom1+2,""))</f>
        <v/>
      </c>
      <c r="M5" s="11" t="str">
        <f>IF(DAY(FebDom1)=1,"",IF(AND(YEAR(FebDom1+3)=AñoCalendario,MONTH(FebDom1+3)=2),FebDom1+3,""))</f>
        <v/>
      </c>
      <c r="N5" s="11" t="str">
        <f>IF(DAY(FebDom1)=1,"",IF(AND(YEAR(FebDom1+4)=AñoCalendario,MONTH(FebDom1+4)=2),FebDom1+4,""))</f>
        <v/>
      </c>
      <c r="O5" s="11" t="str">
        <f>IF(DAY(FebDom1)=1,"",IF(AND(YEAR(FebDom1+5)=AñoCalendario,MONTH(FebDom1+5)=2),FebDom1+5,""))</f>
        <v/>
      </c>
      <c r="P5" s="11">
        <f>IF(DAY(FebDom1)=1,"",IF(AND(YEAR(FebDom1+6)=AñoCalendario,MONTH(FebDom1+6)=2),FebDom1+6,""))</f>
        <v>43862</v>
      </c>
      <c r="Q5" s="16">
        <f>IF(DAY(FebDom1)=1,IF(AND(YEAR(FebDom1)=AñoCalendario,MONTH(FebDom1)=2),FebDom1,""),IF(AND(YEAR(FebDom1+7)=AñoCalendario,MONTH(FebDom1+7)=2),FebDom1+7,""))</f>
        <v>43863</v>
      </c>
      <c r="S5" s="25"/>
      <c r="T5" s="30" t="s">
        <v>22</v>
      </c>
      <c r="U5" s="55" t="s">
        <v>25</v>
      </c>
      <c r="V5" s="51"/>
      <c r="W5" s="34"/>
    </row>
    <row r="6" spans="1:23" ht="15" customHeight="1" x14ac:dyDescent="0.3">
      <c r="A6" s="23"/>
      <c r="C6" s="16">
        <f>IF(DAY(JanDom1)=1,IF(AND(YEAR(JanDom1+1)=AñoCalendario,MONTH(JanDom1+1)=1),JanDom1+1,""),IF(AND(YEAR(JanDom1+8)=AñoCalendario,MONTH(JanDom1+8)=1),JanDom1+8,""))</f>
        <v>43836</v>
      </c>
      <c r="D6" s="17">
        <f>IF(DAY(JanDom1)=1,IF(AND(YEAR(JanDom1+2)=AñoCalendario,MONTH(JanDom1+2)=1),JanDom1+2,""),IF(AND(YEAR(JanDom1+9)=AñoCalendario,MONTH(JanDom1+9)=1),JanDom1+9,""))</f>
        <v>43837</v>
      </c>
      <c r="E6" s="17">
        <f>IF(DAY(JanDom1)=1,IF(AND(YEAR(JanDom1+3)=AñoCalendario,MONTH(JanDom1+3)=1),JanDom1+3,""),IF(AND(YEAR(JanDom1+10)=AñoCalendario,MONTH(JanDom1+10)=1),JanDom1+10,""))</f>
        <v>43838</v>
      </c>
      <c r="F6" s="17">
        <f>IF(DAY(JanDom1)=1,IF(AND(YEAR(JanDom1+4)=AñoCalendario,MONTH(JanDom1+4)=1),JanDom1+4,""),IF(AND(YEAR(JanDom1+11)=AñoCalendario,MONTH(JanDom1+11)=1),JanDom1+11,""))</f>
        <v>43839</v>
      </c>
      <c r="G6" s="17">
        <f>IF(DAY(JanDom1)=1,IF(AND(YEAR(JanDom1+5)=AñoCalendario,MONTH(JanDom1+5)=1),JanDom1+5,""),IF(AND(YEAR(JanDom1+12)=AñoCalendario,MONTH(JanDom1+12)=1),JanDom1+12,""))</f>
        <v>43840</v>
      </c>
      <c r="H6" s="11">
        <f>IF(DAY(JanDom1)=1,IF(AND(YEAR(JanDom1+6)=AñoCalendario,MONTH(JanDom1+6)=1),JanDom1+6,""),IF(AND(YEAR(JanDom1+13)=AñoCalendario,MONTH(JanDom1+13)=1),JanDom1+13,""))</f>
        <v>43841</v>
      </c>
      <c r="I6" s="16">
        <f>IF(DAY(JanDom1)=1,IF(AND(YEAR(JanDom1+7)=AñoCalendario,MONTH(JanDom1+7)=1),JanDom1+7,""),IF(AND(YEAR(JanDom1+14)=AñoCalendario,MONTH(JanDom1+14)=1),JanDom1+14,""))</f>
        <v>43842</v>
      </c>
      <c r="J6" s="8"/>
      <c r="K6" s="36">
        <f>IF(DAY(FebDom1)=1,IF(AND(YEAR(FebDom1+1)=AñoCalendario,MONTH(FebDom1+1)=2),FebDom1+1,""),IF(AND(YEAR(FebDom1+8)=AñoCalendario,MONTH(FebDom1+8)=2),FebDom1+8,""))</f>
        <v>43864</v>
      </c>
      <c r="L6" s="36">
        <f>IF(DAY(FebDom1)=1,IF(AND(YEAR(FebDom1+2)=AñoCalendario,MONTH(FebDom1+2)=2),FebDom1+2,""),IF(AND(YEAR(FebDom1+9)=AñoCalendario,MONTH(FebDom1+9)=2),FebDom1+9,""))</f>
        <v>43865</v>
      </c>
      <c r="M6" s="36">
        <f>IF(DAY(FebDom1)=1,IF(AND(YEAR(FebDom1+3)=AñoCalendario,MONTH(FebDom1+3)=2),FebDom1+3,""),IF(AND(YEAR(FebDom1+10)=AñoCalendario,MONTH(FebDom1+10)=2),FebDom1+10,""))</f>
        <v>43866</v>
      </c>
      <c r="N6" s="36">
        <f>IF(DAY(FebDom1)=1,IF(AND(YEAR(FebDom1+4)=AñoCalendario,MONTH(FebDom1+4)=2),FebDom1+4,""),IF(AND(YEAR(FebDom1+11)=AñoCalendario,MONTH(FebDom1+11)=2),FebDom1+11,""))</f>
        <v>43867</v>
      </c>
      <c r="O6" s="36">
        <f>IF(DAY(FebDom1)=1,IF(AND(YEAR(FebDom1+5)=AñoCalendario,MONTH(FebDom1+5)=2),FebDom1+5,""),IF(AND(YEAR(FebDom1+12)=AñoCalendario,MONTH(FebDom1+12)=2),FebDom1+12,""))</f>
        <v>43868</v>
      </c>
      <c r="P6" s="11">
        <f>IF(DAY(FebDom1)=1,IF(AND(YEAR(FebDom1+6)=AñoCalendario,MONTH(FebDom1+6)=2),FebDom1+6,""),IF(AND(YEAR(FebDom1+13)=AñoCalendario,MONTH(FebDom1+13)=2),FebDom1+13,""))</f>
        <v>43869</v>
      </c>
      <c r="Q6" s="16">
        <f>IF(DAY(FebDom1)=1,IF(AND(YEAR(FebDom1+7)=AñoCalendario,MONTH(FebDom1+7)=2),FebDom1+7,""),IF(AND(YEAR(FebDom1+14)=AñoCalendario,MONTH(FebDom1+14)=2),FebDom1+14,""))</f>
        <v>43870</v>
      </c>
      <c r="S6" s="25"/>
      <c r="T6" s="30" t="s">
        <v>23</v>
      </c>
      <c r="U6" s="53" t="s">
        <v>28</v>
      </c>
      <c r="V6" s="51"/>
      <c r="W6" s="34"/>
    </row>
    <row r="7" spans="1:23" ht="15" customHeight="1" x14ac:dyDescent="0.3">
      <c r="A7" s="24"/>
      <c r="C7" s="17">
        <f>IF(DAY(JanDom1)=1,IF(AND(YEAR(JanDom1+8)=AñoCalendario,MONTH(JanDom1+8)=1),JanDom1+8,""),IF(AND(YEAR(JanDom1+15)=AñoCalendario,MONTH(JanDom1+15)=1),JanDom1+15,""))</f>
        <v>43843</v>
      </c>
      <c r="D7" s="17">
        <f>IF(DAY(JanDom1)=1,IF(AND(YEAR(JanDom1+9)=AñoCalendario,MONTH(JanDom1+9)=1),JanDom1+9,""),IF(AND(YEAR(JanDom1+16)=AñoCalendario,MONTH(JanDom1+16)=1),JanDom1+16,""))</f>
        <v>43844</v>
      </c>
      <c r="E7" s="17">
        <f>IF(DAY(JanDom1)=1,IF(AND(YEAR(JanDom1+10)=AñoCalendario,MONTH(JanDom1+10)=1),JanDom1+10,""),IF(AND(YEAR(JanDom1+17)=AñoCalendario,MONTH(JanDom1+17)=1),JanDom1+17,""))</f>
        <v>43845</v>
      </c>
      <c r="F7" s="17">
        <f>IF(DAY(JanDom1)=1,IF(AND(YEAR(JanDom1+11)=AñoCalendario,MONTH(JanDom1+11)=1),JanDom1+11,""),IF(AND(YEAR(JanDom1+18)=AñoCalendario,MONTH(JanDom1+18)=1),JanDom1+18,""))</f>
        <v>43846</v>
      </c>
      <c r="G7" s="17">
        <f>IF(DAY(JanDom1)=1,IF(AND(YEAR(JanDom1+12)=AñoCalendario,MONTH(JanDom1+12)=1),JanDom1+12,""),IF(AND(YEAR(JanDom1+19)=AñoCalendario,MONTH(JanDom1+19)=1),JanDom1+19,""))</f>
        <v>43847</v>
      </c>
      <c r="H7" s="11">
        <f>IF(DAY(JanDom1)=1,IF(AND(YEAR(JanDom1+13)=AñoCalendario,MONTH(JanDom1+13)=1),JanDom1+13,""),IF(AND(YEAR(JanDom1+20)=AñoCalendario,MONTH(JanDom1+20)=1),JanDom1+20,""))</f>
        <v>43848</v>
      </c>
      <c r="I7" s="16">
        <f>IF(DAY(JanDom1)=1,IF(AND(YEAR(JanDom1+14)=AñoCalendario,MONTH(JanDom1+14)=1),JanDom1+14,""),IF(AND(YEAR(JanDom1+21)=AñoCalendario,MONTH(JanDom1+21)=1),JanDom1+21,""))</f>
        <v>43849</v>
      </c>
      <c r="J7" s="8"/>
      <c r="K7" s="36">
        <f>IF(DAY(FebDom1)=1,IF(AND(YEAR(FebDom1+8)=AñoCalendario,MONTH(FebDom1+8)=2),FebDom1+8,""),IF(AND(YEAR(FebDom1+15)=AñoCalendario,MONTH(FebDom1+15)=2),FebDom1+15,""))</f>
        <v>43871</v>
      </c>
      <c r="L7" s="36">
        <f>IF(DAY(FebDom1)=1,IF(AND(YEAR(FebDom1+9)=AñoCalendario,MONTH(FebDom1+9)=2),FebDom1+9,""),IF(AND(YEAR(FebDom1+16)=AñoCalendario,MONTH(FebDom1+16)=2),FebDom1+16,""))</f>
        <v>43872</v>
      </c>
      <c r="M7" s="36">
        <f>IF(DAY(FebDom1)=1,IF(AND(YEAR(FebDom1+10)=AñoCalendario,MONTH(FebDom1+10)=2),FebDom1+10,""),IF(AND(YEAR(FebDom1+17)=AñoCalendario,MONTH(FebDom1+17)=2),FebDom1+17,""))</f>
        <v>43873</v>
      </c>
      <c r="N7" s="36">
        <f>IF(DAY(FebDom1)=1,IF(AND(YEAR(FebDom1+11)=AñoCalendario,MONTH(FebDom1+11)=2),FebDom1+11,""),IF(AND(YEAR(FebDom1+18)=AñoCalendario,MONTH(FebDom1+18)=2),FebDom1+18,""))</f>
        <v>43874</v>
      </c>
      <c r="O7" s="36">
        <f>IF(DAY(FebDom1)=1,IF(AND(YEAR(FebDom1+12)=AñoCalendario,MONTH(FebDom1+12)=2),FebDom1+12,""),IF(AND(YEAR(FebDom1+19)=AñoCalendario,MONTH(FebDom1+19)=2),FebDom1+19,""))</f>
        <v>43875</v>
      </c>
      <c r="P7" s="11">
        <f>IF(DAY(FebDom1)=1,IF(AND(YEAR(FebDom1+13)=AñoCalendario,MONTH(FebDom1+13)=2),FebDom1+13,""),IF(AND(YEAR(FebDom1+20)=AñoCalendario,MONTH(FebDom1+20)=2),FebDom1+20,""))</f>
        <v>43876</v>
      </c>
      <c r="Q7" s="16">
        <f>IF(DAY(FebDom1)=1,IF(AND(YEAR(FebDom1+14)=AñoCalendario,MONTH(FebDom1+14)=2),FebDom1+14,""),IF(AND(YEAR(FebDom1+21)=AñoCalendario,MONTH(FebDom1+21)=2),FebDom1+21,""))</f>
        <v>43877</v>
      </c>
      <c r="S7" s="25"/>
      <c r="U7" s="5"/>
      <c r="V7" s="28"/>
      <c r="W7" s="34"/>
    </row>
    <row r="8" spans="1:23" ht="15" customHeight="1" x14ac:dyDescent="0.35">
      <c r="A8" s="24"/>
      <c r="C8" s="56">
        <f>IF(DAY(JanDom1)=1,IF(AND(YEAR(JanDom1+15)=AñoCalendario,MONTH(JanDom1+15)=1),JanDom1+15,""),IF(AND(YEAR(JanDom1+22)=AñoCalendario,MONTH(JanDom1+22)=1),JanDom1+22,""))</f>
        <v>43850</v>
      </c>
      <c r="D8" s="36">
        <f>IF(DAY(JanDom1)=1,IF(AND(YEAR(JanDom1+16)=AñoCalendario,MONTH(JanDom1+16)=1),JanDom1+16,""),IF(AND(YEAR(JanDom1+23)=AñoCalendario,MONTH(JanDom1+23)=1),JanDom1+23,""))</f>
        <v>43851</v>
      </c>
      <c r="E8" s="36">
        <f>IF(DAY(JanDom1)=1,IF(AND(YEAR(JanDom1+17)=AñoCalendario,MONTH(JanDom1+17)=1),JanDom1+17,""),IF(AND(YEAR(JanDom1+24)=AñoCalendario,MONTH(JanDom1+24)=1),JanDom1+24,""))</f>
        <v>43852</v>
      </c>
      <c r="F8" s="36">
        <f>IF(DAY(JanDom1)=1,IF(AND(YEAR(JanDom1+18)=AñoCalendario,MONTH(JanDom1+18)=1),JanDom1+18,""),IF(AND(YEAR(JanDom1+25)=AñoCalendario,MONTH(JanDom1+25)=1),JanDom1+25,""))</f>
        <v>43853</v>
      </c>
      <c r="G8" s="36">
        <f>IF(DAY(JanDom1)=1,IF(AND(YEAR(JanDom1+19)=AñoCalendario,MONTH(JanDom1+19)=1),JanDom1+19,""),IF(AND(YEAR(JanDom1+26)=AñoCalendario,MONTH(JanDom1+26)=1),JanDom1+26,""))</f>
        <v>43854</v>
      </c>
      <c r="H8" s="11">
        <f>IF(DAY(JanDom1)=1,IF(AND(YEAR(JanDom1+20)=AñoCalendario,MONTH(JanDom1+20)=1),JanDom1+20,""),IF(AND(YEAR(JanDom1+27)=AñoCalendario,MONTH(JanDom1+27)=1),JanDom1+27,""))</f>
        <v>43855</v>
      </c>
      <c r="I8" s="16">
        <f>IF(DAY(JanDom1)=1,IF(AND(YEAR(JanDom1+21)=AñoCalendario,MONTH(JanDom1+21)=1),JanDom1+21,""),IF(AND(YEAR(JanDom1+28)=AñoCalendario,MONTH(JanDom1+28)=1),JanDom1+28,""))</f>
        <v>43856</v>
      </c>
      <c r="J8" s="8"/>
      <c r="K8" s="36">
        <f>IF(DAY(FebDom1)=1,IF(AND(YEAR(FebDom1+15)=AñoCalendario,MONTH(FebDom1+15)=2),FebDom1+15,""),IF(AND(YEAR(FebDom1+22)=AñoCalendario,MONTH(FebDom1+22)=2),FebDom1+22,""))</f>
        <v>43878</v>
      </c>
      <c r="L8" s="36">
        <f>IF(DAY(FebDom1)=1,IF(AND(YEAR(FebDom1+16)=AñoCalendario,MONTH(FebDom1+16)=2),FebDom1+16,""),IF(AND(YEAR(FebDom1+23)=AñoCalendario,MONTH(FebDom1+23)=2),FebDom1+23,""))</f>
        <v>43879</v>
      </c>
      <c r="M8" s="36">
        <f>IF(DAY(FebDom1)=1,IF(AND(YEAR(FebDom1+17)=AñoCalendario,MONTH(FebDom1+17)=2),FebDom1+17,""),IF(AND(YEAR(FebDom1+24)=AñoCalendario,MONTH(FebDom1+24)=2),FebDom1+24,""))</f>
        <v>43880</v>
      </c>
      <c r="N8" s="36">
        <f>IF(DAY(FebDom1)=1,IF(AND(YEAR(FebDom1+18)=AñoCalendario,MONTH(FebDom1+18)=2),FebDom1+18,""),IF(AND(YEAR(FebDom1+25)=AñoCalendario,MONTH(FebDom1+25)=2),FebDom1+25,""))</f>
        <v>43881</v>
      </c>
      <c r="O8" s="36">
        <f>IF(DAY(FebDom1)=1,IF(AND(YEAR(FebDom1+19)=AñoCalendario,MONTH(FebDom1+19)=2),FebDom1+19,""),IF(AND(YEAR(FebDom1+26)=AñoCalendario,MONTH(FebDom1+26)=2),FebDom1+26,""))</f>
        <v>43882</v>
      </c>
      <c r="P8" s="11">
        <f>IF(DAY(FebDom1)=1,IF(AND(YEAR(FebDom1+20)=AñoCalendario,MONTH(FebDom1+20)=2),FebDom1+20,""),IF(AND(YEAR(FebDom1+27)=AñoCalendario,MONTH(FebDom1+27)=2),FebDom1+27,""))</f>
        <v>43883</v>
      </c>
      <c r="Q8" s="16">
        <f>IF(DAY(FebDom1)=1,IF(AND(YEAR(FebDom1+21)=AñoCalendario,MONTH(FebDom1+21)=2),FebDom1+21,""),IF(AND(YEAR(FebDom1+28)=AñoCalendario,MONTH(FebDom1+28)=2),FebDom1+28,""))</f>
        <v>43884</v>
      </c>
      <c r="S8" s="25"/>
      <c r="T8" s="75" t="s">
        <v>30</v>
      </c>
      <c r="U8" s="76"/>
      <c r="V8" s="77"/>
      <c r="W8" s="34"/>
    </row>
    <row r="9" spans="1:23" ht="15" customHeight="1" x14ac:dyDescent="0.3">
      <c r="A9" s="24"/>
      <c r="C9" s="36">
        <f>IF(DAY(JanDom1)=1,IF(AND(YEAR(JanDom1+22)=AñoCalendario,MONTH(JanDom1+22)=1),JanDom1+22,""),IF(AND(YEAR(JanDom1+29)=AñoCalendario,MONTH(JanDom1+29)=1),JanDom1+29,""))</f>
        <v>43857</v>
      </c>
      <c r="D9" s="36">
        <f>IF(DAY(JanDom1)=1,IF(AND(YEAR(JanDom1+23)=AñoCalendario,MONTH(JanDom1+23)=1),JanDom1+23,""),IF(AND(YEAR(JanDom1+30)=AñoCalendario,MONTH(JanDom1+30)=1),JanDom1+30,""))</f>
        <v>43858</v>
      </c>
      <c r="E9" s="36">
        <f>IF(DAY(JanDom1)=1,IF(AND(YEAR(JanDom1+24)=AñoCalendario,MONTH(JanDom1+24)=1),JanDom1+24,""),IF(AND(YEAR(JanDom1+31)=AñoCalendario,MONTH(JanDom1+31)=1),JanDom1+31,""))</f>
        <v>43859</v>
      </c>
      <c r="F9" s="36">
        <f>IF(DAY(JanDom1)=1,IF(AND(YEAR(JanDom1+25)=AñoCalendario,MONTH(JanDom1+25)=1),JanDom1+25,""),IF(AND(YEAR(JanDom1+32)=AñoCalendario,MONTH(JanDom1+32)=1),JanDom1+32,""))</f>
        <v>43860</v>
      </c>
      <c r="G9" s="36">
        <f>IF(DAY(JanDom1)=1,IF(AND(YEAR(JanDom1+26)=AñoCalendario,MONTH(JanDom1+26)=1),JanDom1+26,""),IF(AND(YEAR(JanDom1+33)=AñoCalendario,MONTH(JanDom1+33)=1),JanDom1+33,""))</f>
        <v>43861</v>
      </c>
      <c r="H9" s="11" t="str">
        <f>IF(DAY(JanDom1)=1,IF(AND(YEAR(JanDom1+27)=AñoCalendario,MONTH(JanDom1+27)=1),JanDom1+27,""),IF(AND(YEAR(JanDom1+34)=AñoCalendario,MONTH(JanDom1+34)=1),JanDom1+34,""))</f>
        <v/>
      </c>
      <c r="I9" s="11" t="str">
        <f>IF(DAY(JanDom1)=1,IF(AND(YEAR(JanDom1+28)=AñoCalendario,MONTH(JanDom1+28)=1),JanDom1+28,""),IF(AND(YEAR(JanDom1+35)=AñoCalendario,MONTH(JanDom1+35)=1),JanDom1+35,""))</f>
        <v/>
      </c>
      <c r="J9" s="8"/>
      <c r="K9" s="36">
        <f>IF(DAY(FebDom1)=1,IF(AND(YEAR(FebDom1+22)=AñoCalendario,MONTH(FebDom1+22)=2),FebDom1+22,""),IF(AND(YEAR(FebDom1+29)=AñoCalendario,MONTH(FebDom1+29)=2),FebDom1+29,""))</f>
        <v>43885</v>
      </c>
      <c r="L9" s="36">
        <f>IF(DAY(FebDom1)=1,IF(AND(YEAR(FebDom1+23)=AñoCalendario,MONTH(FebDom1+23)=2),FebDom1+23,""),IF(AND(YEAR(FebDom1+30)=AñoCalendario,MONTH(FebDom1+30)=2),FebDom1+30,""))</f>
        <v>43886</v>
      </c>
      <c r="M9" s="36">
        <f>IF(DAY(FebDom1)=1,IF(AND(YEAR(FebDom1+24)=AñoCalendario,MONTH(FebDom1+24)=2),FebDom1+24,""),IF(AND(YEAR(FebDom1+31)=AñoCalendario,MONTH(FebDom1+31)=2),FebDom1+31,""))</f>
        <v>43887</v>
      </c>
      <c r="N9" s="36">
        <f>IF(DAY(FebDom1)=1,IF(AND(YEAR(FebDom1+25)=AñoCalendario,MONTH(FebDom1+25)=2),FebDom1+25,""),IF(AND(YEAR(FebDom1+32)=AñoCalendario,MONTH(FebDom1+32)=2),FebDom1+32,""))</f>
        <v>43888</v>
      </c>
      <c r="O9" s="36">
        <f>IF(DAY(FebDom1)=1,IF(AND(YEAR(FebDom1+26)=AñoCalendario,MONTH(FebDom1+26)=2),FebDom1+26,""),IF(AND(YEAR(FebDom1+33)=AñoCalendario,MONTH(FebDom1+33)=2),FebDom1+33,""))</f>
        <v>43889</v>
      </c>
      <c r="P9" s="11">
        <f>IF(DAY(FebDom1)=1,IF(AND(YEAR(FebDom1+27)=AñoCalendario,MONTH(FebDom1+27)=2),FebDom1+27,""),IF(AND(YEAR(FebDom1+34)=AñoCalendario,MONTH(FebDom1+34)=2),FebDom1+34,""))</f>
        <v>43890</v>
      </c>
      <c r="Q9" s="11" t="str">
        <f>IF(DAY(FebDom1)=1,IF(AND(YEAR(FebDom1+28)=AñoCalendario,MONTH(FebDom1+28)=2),FebDom1+28,""),IF(AND(YEAR(FebDom1+35)=AñoCalendario,MONTH(FebDom1+35)=2),FebDom1+35,""))</f>
        <v/>
      </c>
      <c r="S9" s="25"/>
      <c r="T9" s="35" t="s">
        <v>31</v>
      </c>
      <c r="U9" s="84" t="s">
        <v>35</v>
      </c>
      <c r="V9" s="84"/>
      <c r="W9" s="34"/>
    </row>
    <row r="10" spans="1:23" ht="15" customHeight="1" x14ac:dyDescent="0.3">
      <c r="A10" s="24"/>
      <c r="C10" s="10" t="str">
        <f>IF(DAY(JanDom1)=1,IF(AND(YEAR(JanDom1+29)=AñoCalendario,MONTH(JanDom1+29)=1),JanDom1+29,""),IF(AND(YEAR(JanDom1+36)=AñoCalendario,MONTH(JanDom1+36)=1),JanDom1+36,""))</f>
        <v/>
      </c>
      <c r="D10" s="10" t="str">
        <f>IF(DAY(JanDom1)=1,IF(AND(YEAR(JanDom1+30)=AñoCalendario,MONTH(JanDom1+30)=1),JanDom1+30,""),IF(AND(YEAR(JanDom1+37)=AñoCalendario,MONTH(JanDom1+37)=1),JanDom1+37,""))</f>
        <v/>
      </c>
      <c r="E10" s="10" t="str">
        <f>IF(DAY(JanDom1)=1,IF(AND(YEAR(JanDom1+31)=AñoCalendario,MONTH(JanDom1+31)=1),JanDom1+31,""),IF(AND(YEAR(JanDom1+38)=AñoCalendario,MONTH(JanDom1+38)=1),JanDom1+38,""))</f>
        <v/>
      </c>
      <c r="F10" s="10" t="str">
        <f>IF(DAY(JanDom1)=1,IF(AND(YEAR(JanDom1+32)=AñoCalendario,MONTH(JanDom1+32)=1),JanDom1+32,""),IF(AND(YEAR(JanDom1+39)=AñoCalendario,MONTH(JanDom1+39)=1),JanDom1+39,""))</f>
        <v/>
      </c>
      <c r="G10" s="10" t="str">
        <f>IF(DAY(JanDom1)=1,IF(AND(YEAR(JanDom1+33)=AñoCalendario,MONTH(JanDom1+33)=1),JanDom1+33,""),IF(AND(YEAR(JanDom1+40)=AñoCalendario,MONTH(JanDom1+40)=1),JanDom1+40,""))</f>
        <v/>
      </c>
      <c r="H10" s="10" t="str">
        <f>IF(DAY(JanDom1)=1,IF(AND(YEAR(JanDom1+34)=AñoCalendario,MONTH(JanDom1+34)=1),JanDom1+34,""),IF(AND(YEAR(JanDom1+41)=AñoCalendario,MONTH(JanDom1+41)=1),JanDom1+41,""))</f>
        <v/>
      </c>
      <c r="I10" s="10" t="str">
        <f>IF(DAY(JanDom1)=1,IF(AND(YEAR(JanDom1+35)=AñoCalendario,MONTH(JanDom1+35)=1),JanDom1+35,""),IF(AND(YEAR(JanDom1+42)=AñoCalendario,MONTH(JanDom1+42)=1),JanDom1+42,""))</f>
        <v/>
      </c>
      <c r="J10" s="8"/>
      <c r="K10" s="10" t="str">
        <f>IF(DAY(FebDom1)=1,IF(AND(YEAR(FebDom1+29)=AñoCalendario,MONTH(FebDom1+29)=2),FebDom1+29,""),IF(AND(YEAR(FebDom1+36)=AñoCalendario,MONTH(FebDom1+36)=2),FebDom1+36,""))</f>
        <v/>
      </c>
      <c r="L10" s="10" t="str">
        <f>IF(DAY(FebDom1)=1,IF(AND(YEAR(FebDom1+30)=AñoCalendario,MONTH(FebDom1+30)=2),FebDom1+30,""),IF(AND(YEAR(FebDom1+37)=AñoCalendario,MONTH(FebDom1+37)=2),FebDom1+37,""))</f>
        <v/>
      </c>
      <c r="M10" s="10" t="str">
        <f>IF(DAY(FebDom1)=1,IF(AND(YEAR(FebDom1+31)=AñoCalendario,MONTH(FebDom1+31)=2),FebDom1+31,""),IF(AND(YEAR(FebDom1+38)=AñoCalendario,MONTH(FebDom1+38)=2),FebDom1+38,""))</f>
        <v/>
      </c>
      <c r="N10" s="10" t="str">
        <f>IF(DAY(FebDom1)=1,IF(AND(YEAR(FebDom1+32)=AñoCalendario,MONTH(FebDom1+32)=2),FebDom1+32,""),IF(AND(YEAR(FebDom1+39)=AñoCalendario,MONTH(FebDom1+39)=2),FebDom1+39,""))</f>
        <v/>
      </c>
      <c r="O10" s="10" t="str">
        <f>IF(DAY(FebDom1)=1,IF(AND(YEAR(FebDom1+33)=AñoCalendario,MONTH(FebDom1+33)=2),FebDom1+33,""),IF(AND(YEAR(FebDom1+40)=AñoCalendario,MONTH(FebDom1+40)=2),FebDom1+40,""))</f>
        <v/>
      </c>
      <c r="P10" s="10" t="str">
        <f>IF(DAY(FebDom1)=1,IF(AND(YEAR(FebDom1+34)=AñoCalendario,MONTH(FebDom1+34)=2),FebDom1+34,""),IF(AND(YEAR(FebDom1+41)=AñoCalendario,MONTH(FebDom1+41)=2),FebDom1+41,""))</f>
        <v/>
      </c>
      <c r="Q10" s="10" t="str">
        <f>IF(DAY(FebDom1)=1,IF(AND(YEAR(FebDom1+35)=AñoCalendario,MONTH(FebDom1+35)=2),FebDom1+35,""),IF(AND(YEAR(FebDom1+42)=AñoCalendario,MONTH(FebDom1+42)=2),FebDom1+42,""))</f>
        <v/>
      </c>
      <c r="S10" s="25"/>
      <c r="T10" s="35" t="s">
        <v>32</v>
      </c>
      <c r="U10" s="85" t="s">
        <v>36</v>
      </c>
      <c r="V10" s="85"/>
      <c r="W10" s="34"/>
    </row>
    <row r="11" spans="1:23" ht="15" customHeight="1" x14ac:dyDescent="0.3">
      <c r="A11" s="24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S11" s="25"/>
      <c r="T11" s="35" t="s">
        <v>33</v>
      </c>
      <c r="U11" s="80" t="s">
        <v>42</v>
      </c>
      <c r="V11" s="80"/>
      <c r="W11" s="34"/>
    </row>
    <row r="12" spans="1:23" ht="15" customHeight="1" x14ac:dyDescent="0.3">
      <c r="A12" s="23"/>
      <c r="C12" s="66" t="s">
        <v>2</v>
      </c>
      <c r="D12" s="66"/>
      <c r="E12" s="66"/>
      <c r="F12" s="66"/>
      <c r="G12" s="66"/>
      <c r="H12" s="66"/>
      <c r="I12" s="66"/>
      <c r="J12" s="8"/>
      <c r="K12" s="66" t="s">
        <v>14</v>
      </c>
      <c r="L12" s="66"/>
      <c r="M12" s="66"/>
      <c r="N12" s="66"/>
      <c r="O12" s="66"/>
      <c r="P12" s="66"/>
      <c r="Q12" s="66"/>
      <c r="S12" s="26"/>
      <c r="T12" s="35" t="s">
        <v>34</v>
      </c>
      <c r="U12" s="78" t="s">
        <v>43</v>
      </c>
      <c r="V12" s="78"/>
      <c r="W12" s="34"/>
    </row>
    <row r="13" spans="1:23" ht="15" customHeight="1" x14ac:dyDescent="0.3">
      <c r="A13" s="23"/>
      <c r="C13" s="20" t="s">
        <v>1</v>
      </c>
      <c r="D13" s="21" t="s">
        <v>7</v>
      </c>
      <c r="E13" s="21" t="s">
        <v>8</v>
      </c>
      <c r="F13" s="21" t="s">
        <v>9</v>
      </c>
      <c r="G13" s="21" t="s">
        <v>10</v>
      </c>
      <c r="H13" s="21" t="s">
        <v>11</v>
      </c>
      <c r="I13" s="22" t="s">
        <v>12</v>
      </c>
      <c r="J13" s="9"/>
      <c r="K13" s="18" t="s">
        <v>1</v>
      </c>
      <c r="L13" s="18" t="s">
        <v>7</v>
      </c>
      <c r="M13" s="18" t="s">
        <v>8</v>
      </c>
      <c r="N13" s="18" t="s">
        <v>9</v>
      </c>
      <c r="O13" s="18" t="s">
        <v>10</v>
      </c>
      <c r="P13" s="18" t="s">
        <v>11</v>
      </c>
      <c r="Q13" s="19" t="s">
        <v>12</v>
      </c>
      <c r="S13" s="25"/>
      <c r="U13" s="5"/>
      <c r="V13" s="28"/>
      <c r="W13" s="34"/>
    </row>
    <row r="14" spans="1:23" ht="15" customHeight="1" x14ac:dyDescent="0.35">
      <c r="A14" s="24"/>
      <c r="C14" s="12" t="str">
        <f>IF(DAY(MarDom1)=1,"",IF(AND(YEAR(MarDom1+1)=AñoCalendario,MONTH(MarDom1+1)=3),MarDom1+1,""))</f>
        <v/>
      </c>
      <c r="D14" s="11" t="str">
        <f>IF(DAY(MarDom1)=1,"",IF(AND(YEAR(MarDom1+2)=AñoCalendario,MONTH(MarDom1+2)=3),MarDom1+2,""))</f>
        <v/>
      </c>
      <c r="E14" s="11" t="str">
        <f>IF(DAY(MarDom1)=1,"",IF(AND(YEAR(MarDom1+3)=AñoCalendario,MONTH(MarDom1+3)=3),MarDom1+3,""))</f>
        <v/>
      </c>
      <c r="F14" s="11" t="str">
        <f>IF(DAY(MarDom1)=1,"",IF(AND(YEAR(MarDom1+4)=AñoCalendario,MONTH(MarDom1+4)=3),MarDom1+4,""))</f>
        <v/>
      </c>
      <c r="G14" s="11" t="str">
        <f>IF(DAY(MarDom1)=1,"",IF(AND(YEAR(MarDom1+5)=AñoCalendario,MONTH(MarDom1+5)=3),MarDom1+5,""))</f>
        <v/>
      </c>
      <c r="H14" s="11" t="str">
        <f>IF(DAY(MarDom1)=1,"",IF(AND(YEAR(MarDom1+6)=AñoCalendario,MONTH(MarDom1+6)=3),MarDom1+6,""))</f>
        <v/>
      </c>
      <c r="I14" s="15">
        <f>IF(DAY(MarDom1)=1,IF(AND(YEAR(MarDom1)=AñoCalendario,MONTH(MarDom1)=3),MarDom1,""),IF(AND(YEAR(MarDom1+7)=AñoCalendario,MONTH(MarDom1+7)=3),MarDom1+7,""))</f>
        <v>43891</v>
      </c>
      <c r="J14" s="8"/>
      <c r="K14" s="11" t="str">
        <f>IF(DAY(AbrDom1)=1,"",IF(AND(YEAR(AbrDom1+1)=AñoCalendario,MONTH(AbrDom1+1)=4),AbrDom1+1,""))</f>
        <v/>
      </c>
      <c r="L14" s="11" t="str">
        <f>IF(DAY(AbrDom1)=1,"",IF(AND(YEAR(AbrDom1+2)=AñoCalendario,MONTH(AbrDom1+2)=4),AbrDom1+2,""))</f>
        <v/>
      </c>
      <c r="M14" s="38">
        <f>IF(DAY(AbrDom1)=1,"",IF(AND(YEAR(AbrDom1+3)=AñoCalendario,MONTH(AbrDom1+3)=4),AbrDom1+3,""))</f>
        <v>43922</v>
      </c>
      <c r="N14" s="38">
        <f>IF(DAY(AbrDom1)=1,"",IF(AND(YEAR(AbrDom1+4)=AñoCalendario,MONTH(AbrDom1+4)=4),AbrDom1+4,""))</f>
        <v>43923</v>
      </c>
      <c r="O14" s="38">
        <f>IF(DAY(AbrDom1)=1,"",IF(AND(YEAR(AbrDom1+5)=AñoCalendario,MONTH(AbrDom1+5)=4),AbrDom1+5,""))</f>
        <v>43924</v>
      </c>
      <c r="P14" s="11">
        <f>IF(DAY(AbrDom1)=1,"",IF(AND(YEAR(AbrDom1+6)=AñoCalendario,MONTH(AbrDom1+6)=4),AbrDom1+6,""))</f>
        <v>43925</v>
      </c>
      <c r="Q14" s="16">
        <f>IF(DAY(AbrDom1)=1,IF(AND(YEAR(AbrDom1)=AñoCalendario,MONTH(AbrDom1)=4),AbrDom1,""),IF(AND(YEAR(AbrDom1+7)=AñoCalendario,MONTH(AbrDom1+7)=4),AbrDom1+7,""))</f>
        <v>43926</v>
      </c>
      <c r="S14" s="25"/>
      <c r="T14" s="75" t="s">
        <v>37</v>
      </c>
      <c r="U14" s="76"/>
      <c r="V14" s="77"/>
      <c r="W14" s="34"/>
    </row>
    <row r="15" spans="1:23" ht="15" customHeight="1" x14ac:dyDescent="0.3">
      <c r="A15" s="23"/>
      <c r="C15" s="37">
        <f>IF(DAY(MarDom1)=1,IF(AND(YEAR(MarDom1+1)=AñoCalendario,MONTH(MarDom1+1)=3),MarDom1+1,""),IF(AND(YEAR(MarDom1+8)=AñoCalendario,MONTH(MarDom1+8)=3),MarDom1+8,""))</f>
        <v>43892</v>
      </c>
      <c r="D15" s="36">
        <f>IF(DAY(MarDom1)=1,IF(AND(YEAR(MarDom1+2)=AñoCalendario,MONTH(MarDom1+2)=3),MarDom1+2,""),IF(AND(YEAR(MarDom1+9)=AñoCalendario,MONTH(MarDom1+9)=3),MarDom1+9,""))</f>
        <v>43893</v>
      </c>
      <c r="E15" s="36">
        <f>IF(DAY(MarDom1)=1,IF(AND(YEAR(MarDom1+3)=AñoCalendario,MONTH(MarDom1+3)=3),MarDom1+3,""),IF(AND(YEAR(MarDom1+10)=AñoCalendario,MONTH(MarDom1+10)=3),MarDom1+10,""))</f>
        <v>43894</v>
      </c>
      <c r="F15" s="36">
        <f>IF(DAY(MarDom1)=1,IF(AND(YEAR(MarDom1+4)=AñoCalendario,MONTH(MarDom1+4)=3),MarDom1+4,""),IF(AND(YEAR(MarDom1+11)=AñoCalendario,MONTH(MarDom1+11)=3),MarDom1+11,""))</f>
        <v>43895</v>
      </c>
      <c r="G15" s="36">
        <f>IF(DAY(MarDom1)=1,IF(AND(YEAR(MarDom1+5)=AñoCalendario,MONTH(MarDom1+5)=3),MarDom1+5,""),IF(AND(YEAR(MarDom1+12)=AñoCalendario,MONTH(MarDom1+12)=3),MarDom1+12,""))</f>
        <v>43896</v>
      </c>
      <c r="H15" s="11">
        <f>IF(DAY(MarDom1)=1,IF(AND(YEAR(MarDom1+6)=AñoCalendario,MONTH(MarDom1+6)=3),MarDom1+6,""),IF(AND(YEAR(MarDom1+13)=AñoCalendario,MONTH(MarDom1+13)=3),MarDom1+13,""))</f>
        <v>43897</v>
      </c>
      <c r="I15" s="15">
        <f>IF(DAY(MarDom1)=1,IF(AND(YEAR(MarDom1+7)=AñoCalendario,MONTH(MarDom1+7)=3),MarDom1+7,""),IF(AND(YEAR(MarDom1+14)=AñoCalendario,MONTH(MarDom1+14)=3),MarDom1+14,""))</f>
        <v>43898</v>
      </c>
      <c r="J15" s="8"/>
      <c r="K15" s="17">
        <f>IF(DAY(AbrDom1)=1,IF(AND(YEAR(AbrDom1+1)=AñoCalendario,MONTH(AbrDom1+1)=4),AbrDom1+1,""),IF(AND(YEAR(AbrDom1+8)=AñoCalendario,MONTH(AbrDom1+8)=4),AbrDom1+8,""))</f>
        <v>43927</v>
      </c>
      <c r="L15" s="17">
        <f>IF(DAY(AbrDom1)=1,IF(AND(YEAR(AbrDom1+2)=AñoCalendario,MONTH(AbrDom1+2)=4),AbrDom1+2,""),IF(AND(YEAR(AbrDom1+9)=AñoCalendario,MONTH(AbrDom1+9)=4),AbrDom1+9,""))</f>
        <v>43928</v>
      </c>
      <c r="M15" s="17">
        <f>IF(DAY(AbrDom1)=1,IF(AND(YEAR(AbrDom1+3)=AñoCalendario,MONTH(AbrDom1+3)=4),AbrDom1+3,""),IF(AND(YEAR(AbrDom1+10)=AñoCalendario,MONTH(AbrDom1+10)=4),AbrDom1+10,""))</f>
        <v>43929</v>
      </c>
      <c r="N15" s="17">
        <f>IF(DAY(AbrDom1)=1,IF(AND(YEAR(AbrDom1+4)=AñoCalendario,MONTH(AbrDom1+4)=4),AbrDom1+4,""),IF(AND(YEAR(AbrDom1+11)=AñoCalendario,MONTH(AbrDom1+11)=4),AbrDom1+11,""))</f>
        <v>43930</v>
      </c>
      <c r="O15" s="17">
        <f>IF(DAY(AbrDom1)=1,IF(AND(YEAR(AbrDom1+5)=AñoCalendario,MONTH(AbrDom1+5)=4),AbrDom1+5,""),IF(AND(YEAR(AbrDom1+12)=AñoCalendario,MONTH(AbrDom1+12)=4),AbrDom1+12,""))</f>
        <v>43931</v>
      </c>
      <c r="P15" s="11">
        <f>IF(DAY(AbrDom1)=1,IF(AND(YEAR(AbrDom1+6)=AñoCalendario,MONTH(AbrDom1+6)=4),AbrDom1+6,""),IF(AND(YEAR(AbrDom1+13)=AñoCalendario,MONTH(AbrDom1+13)=4),AbrDom1+13,""))</f>
        <v>43932</v>
      </c>
      <c r="Q15" s="16">
        <f>IF(DAY(AbrDom1)=1,IF(AND(YEAR(AbrDom1+7)=AñoCalendario,MONTH(AbrDom1+7)=4),AbrDom1+7,""),IF(AND(YEAR(AbrDom1+14)=AñoCalendario,MONTH(AbrDom1+14)=4),AbrDom1+14,""))</f>
        <v>43933</v>
      </c>
      <c r="S15" s="25"/>
      <c r="T15" s="35" t="s">
        <v>24</v>
      </c>
      <c r="U15" s="82" t="s">
        <v>44</v>
      </c>
      <c r="V15" s="82"/>
      <c r="W15" s="34"/>
    </row>
    <row r="16" spans="1:23" ht="15" customHeight="1" x14ac:dyDescent="0.3">
      <c r="A16" s="24"/>
      <c r="C16" s="37">
        <f>IF(DAY(MarDom1)=1,IF(AND(YEAR(MarDom1+8)=AñoCalendario,MONTH(MarDom1+8)=3),MarDom1+8,""),IF(AND(YEAR(MarDom1+15)=AñoCalendario,MONTH(MarDom1+15)=3),MarDom1+15,""))</f>
        <v>43899</v>
      </c>
      <c r="D16" s="36">
        <f>IF(DAY(MarDom1)=1,IF(AND(YEAR(MarDom1+9)=AñoCalendario,MONTH(MarDom1+9)=3),MarDom1+9,""),IF(AND(YEAR(MarDom1+16)=AñoCalendario,MONTH(MarDom1+16)=3),MarDom1+16,""))</f>
        <v>43900</v>
      </c>
      <c r="E16" s="36">
        <f>IF(DAY(MarDom1)=1,IF(AND(YEAR(MarDom1+10)=AñoCalendario,MONTH(MarDom1+10)=3),MarDom1+10,""),IF(AND(YEAR(MarDom1+17)=AñoCalendario,MONTH(MarDom1+17)=3),MarDom1+17,""))</f>
        <v>43901</v>
      </c>
      <c r="F16" s="36">
        <f>IF(DAY(MarDom1)=1,IF(AND(YEAR(MarDom1+11)=AñoCalendario,MONTH(MarDom1+11)=3),MarDom1+11,""),IF(AND(YEAR(MarDom1+18)=AñoCalendario,MONTH(MarDom1+18)=3),MarDom1+18,""))</f>
        <v>43902</v>
      </c>
      <c r="G16" s="36">
        <f>IF(DAY(MarDom1)=1,IF(AND(YEAR(MarDom1+12)=AñoCalendario,MONTH(MarDom1+12)=3),MarDom1+12,""),IF(AND(YEAR(MarDom1+19)=AñoCalendario,MONTH(MarDom1+19)=3),MarDom1+19,""))</f>
        <v>43903</v>
      </c>
      <c r="H16" s="11">
        <f>IF(DAY(MarDom1)=1,IF(AND(YEAR(MarDom1+13)=AñoCalendario,MONTH(MarDom1+13)=3),MarDom1+13,""),IF(AND(YEAR(MarDom1+20)=AñoCalendario,MONTH(MarDom1+20)=3),MarDom1+20,""))</f>
        <v>43904</v>
      </c>
      <c r="I16" s="15">
        <f>IF(DAY(MarDom1)=1,IF(AND(YEAR(MarDom1+14)=AñoCalendario,MONTH(MarDom1+14)=3),MarDom1+14,""),IF(AND(YEAR(MarDom1+21)=AñoCalendario,MONTH(MarDom1+21)=3),MarDom1+21,""))</f>
        <v>43905</v>
      </c>
      <c r="J16" s="8"/>
      <c r="K16" s="62">
        <f>IF(DAY(AbrDom1)=1,IF(AND(YEAR(AbrDom1+8)=AñoCalendario,MONTH(AbrDom1+8)=4),AbrDom1+8,""),IF(AND(YEAR(AbrDom1+15)=AñoCalendario,MONTH(AbrDom1+15)=4),AbrDom1+15,""))</f>
        <v>43934</v>
      </c>
      <c r="L16" s="62">
        <f>IF(DAY(AbrDom1)=1,IF(AND(YEAR(AbrDom1+9)=AñoCalendario,MONTH(AbrDom1+9)=4),AbrDom1+9,""),IF(AND(YEAR(AbrDom1+16)=AñoCalendario,MONTH(AbrDom1+16)=4),AbrDom1+16,""))</f>
        <v>43935</v>
      </c>
      <c r="M16" s="62">
        <f>IF(DAY(AbrDom1)=1,IF(AND(YEAR(AbrDom1+10)=AñoCalendario,MONTH(AbrDom1+10)=4),AbrDom1+10,""),IF(AND(YEAR(AbrDom1+17)=AñoCalendario,MONTH(AbrDom1+17)=4),AbrDom1+17,""))</f>
        <v>43936</v>
      </c>
      <c r="N16" s="62">
        <f>IF(DAY(AbrDom1)=1,IF(AND(YEAR(AbrDom1+11)=AñoCalendario,MONTH(AbrDom1+11)=4),AbrDom1+11,""),IF(AND(YEAR(AbrDom1+18)=AñoCalendario,MONTH(AbrDom1+18)=4),AbrDom1+18,""))</f>
        <v>43937</v>
      </c>
      <c r="O16" s="62">
        <f>IF(DAY(AbrDom1)=1,IF(AND(YEAR(AbrDom1+12)=AñoCalendario,MONTH(AbrDom1+12)=4),AbrDom1+12,""),IF(AND(YEAR(AbrDom1+19)=AñoCalendario,MONTH(AbrDom1+19)=4),AbrDom1+19,""))</f>
        <v>43938</v>
      </c>
      <c r="P16" s="11">
        <f>IF(DAY(AbrDom1)=1,IF(AND(YEAR(AbrDom1+13)=AñoCalendario,MONTH(AbrDom1+13)=4),AbrDom1+13,""),IF(AND(YEAR(AbrDom1+20)=AñoCalendario,MONTH(AbrDom1+20)=4),AbrDom1+20,""))</f>
        <v>43939</v>
      </c>
      <c r="Q16" s="16">
        <f>IF(DAY(AbrDom1)=1,IF(AND(YEAR(AbrDom1+14)=AñoCalendario,MONTH(AbrDom1+14)=4),AbrDom1+14,""),IF(AND(YEAR(AbrDom1+21)=AñoCalendario,MONTH(AbrDom1+21)=4),AbrDom1+21,""))</f>
        <v>43940</v>
      </c>
      <c r="S16" s="25"/>
      <c r="T16" s="35" t="s">
        <v>22</v>
      </c>
      <c r="U16" s="83" t="s">
        <v>45</v>
      </c>
      <c r="V16" s="83"/>
      <c r="W16" s="34"/>
    </row>
    <row r="17" spans="1:23" ht="15" customHeight="1" x14ac:dyDescent="0.3">
      <c r="A17" s="24"/>
      <c r="C17" s="37">
        <f>IF(DAY(MarDom1)=1,IF(AND(YEAR(MarDom1+15)=AñoCalendario,MONTH(MarDom1+15)=3),MarDom1+15,""),IF(AND(YEAR(MarDom1+22)=AñoCalendario,MONTH(MarDom1+22)=3),MarDom1+22,""))</f>
        <v>43906</v>
      </c>
      <c r="D17" s="36">
        <f>IF(DAY(MarDom1)=1,IF(AND(YEAR(MarDom1+16)=AñoCalendario,MONTH(MarDom1+16)=3),MarDom1+16,""),IF(AND(YEAR(MarDom1+23)=AñoCalendario,MONTH(MarDom1+23)=3),MarDom1+23,""))</f>
        <v>43907</v>
      </c>
      <c r="E17" s="36">
        <f>IF(DAY(MarDom1)=1,IF(AND(YEAR(MarDom1+17)=AñoCalendario,MONTH(MarDom1+17)=3),MarDom1+17,""),IF(AND(YEAR(MarDom1+24)=AñoCalendario,MONTH(MarDom1+24)=3),MarDom1+24,""))</f>
        <v>43908</v>
      </c>
      <c r="F17" s="36">
        <f>IF(DAY(MarDom1)=1,IF(AND(YEAR(MarDom1+18)=AñoCalendario,MONTH(MarDom1+18)=3),MarDom1+18,""),IF(AND(YEAR(MarDom1+25)=AñoCalendario,MONTH(MarDom1+25)=3),MarDom1+25,""))</f>
        <v>43909</v>
      </c>
      <c r="G17" s="36">
        <f>IF(DAY(MarDom1)=1,IF(AND(YEAR(MarDom1+19)=AñoCalendario,MONTH(MarDom1+19)=3),MarDom1+19,""),IF(AND(YEAR(MarDom1+26)=AñoCalendario,MONTH(MarDom1+26)=3),MarDom1+26,""))</f>
        <v>43910</v>
      </c>
      <c r="H17" s="11">
        <f>IF(DAY(MarDom1)=1,IF(AND(YEAR(MarDom1+20)=AñoCalendario,MONTH(MarDom1+20)=3),MarDom1+20,""),IF(AND(YEAR(MarDom1+27)=AñoCalendario,MONTH(MarDom1+27)=3),MarDom1+27,""))</f>
        <v>43911</v>
      </c>
      <c r="I17" s="15">
        <f>IF(DAY(MarDom1)=1,IF(AND(YEAR(MarDom1+21)=AñoCalendario,MONTH(MarDom1+21)=3),MarDom1+21,""),IF(AND(YEAR(MarDom1+28)=AñoCalendario,MONTH(MarDom1+28)=3),MarDom1+28,""))</f>
        <v>43912</v>
      </c>
      <c r="J17" s="8"/>
      <c r="K17" s="38">
        <f>IF(DAY(AbrDom1)=1,IF(AND(YEAR(AbrDom1+15)=AñoCalendario,MONTH(AbrDom1+15)=4),AbrDom1+15,""),IF(AND(YEAR(AbrDom1+22)=AñoCalendario,MONTH(AbrDom1+22)=4),AbrDom1+22,""))</f>
        <v>43941</v>
      </c>
      <c r="L17" s="38">
        <f>IF(DAY(AbrDom1)=1,IF(AND(YEAR(AbrDom1+16)=AñoCalendario,MONTH(AbrDom1+16)=4),AbrDom1+16,""),IF(AND(YEAR(AbrDom1+23)=AñoCalendario,MONTH(AbrDom1+23)=4),AbrDom1+23,""))</f>
        <v>43942</v>
      </c>
      <c r="M17" s="38">
        <f>IF(DAY(AbrDom1)=1,IF(AND(YEAR(AbrDom1+17)=AñoCalendario,MONTH(AbrDom1+17)=4),AbrDom1+17,""),IF(AND(YEAR(AbrDom1+24)=AñoCalendario,MONTH(AbrDom1+24)=4),AbrDom1+24,""))</f>
        <v>43943</v>
      </c>
      <c r="N17" s="38">
        <f>IF(DAY(AbrDom1)=1,IF(AND(YEAR(AbrDom1+18)=AñoCalendario,MONTH(AbrDom1+18)=4),AbrDom1+18,""),IF(AND(YEAR(AbrDom1+25)=AñoCalendario,MONTH(AbrDom1+25)=4),AbrDom1+25,""))</f>
        <v>43944</v>
      </c>
      <c r="O17" s="38">
        <f>IF(DAY(AbrDom1)=1,IF(AND(YEAR(AbrDom1+19)=AñoCalendario,MONTH(AbrDom1+19)=4),AbrDom1+19,""),IF(AND(YEAR(AbrDom1+26)=AñoCalendario,MONTH(AbrDom1+26)=4),AbrDom1+26,""))</f>
        <v>43945</v>
      </c>
      <c r="P17" s="11">
        <f>IF(DAY(AbrDom1)=1,IF(AND(YEAR(AbrDom1+20)=AñoCalendario,MONTH(AbrDom1+20)=4),AbrDom1+20,""),IF(AND(YEAR(AbrDom1+27)=AñoCalendario,MONTH(AbrDom1+27)=4),AbrDom1+27,""))</f>
        <v>43946</v>
      </c>
      <c r="Q17" s="16">
        <f>IF(DAY(AbrDom1)=1,IF(AND(YEAR(AbrDom1+21)=AñoCalendario,MONTH(AbrDom1+21)=4),AbrDom1+21,""),IF(AND(YEAR(AbrDom1+28)=AñoCalendario,MONTH(AbrDom1+28)=4),AbrDom1+28,""))</f>
        <v>43947</v>
      </c>
      <c r="S17" s="25"/>
      <c r="T17" s="47" t="s">
        <v>24</v>
      </c>
      <c r="U17" s="73" t="s">
        <v>46</v>
      </c>
      <c r="V17" s="73"/>
      <c r="W17" s="34"/>
    </row>
    <row r="18" spans="1:23" ht="15" customHeight="1" x14ac:dyDescent="0.3">
      <c r="A18" s="24"/>
      <c r="C18" s="37">
        <f>IF(DAY(MarDom1)=1,IF(AND(YEAR(MarDom1+22)=AñoCalendario,MONTH(MarDom1+22)=3),MarDom1+22,""),IF(AND(YEAR(MarDom1+29)=AñoCalendario,MONTH(MarDom1+29)=3),MarDom1+29,""))</f>
        <v>43913</v>
      </c>
      <c r="D18" s="36">
        <f>IF(DAY(MarDom1)=1,IF(AND(YEAR(MarDom1+23)=AñoCalendario,MONTH(MarDom1+23)=3),MarDom1+23,""),IF(AND(YEAR(MarDom1+30)=AñoCalendario,MONTH(MarDom1+30)=3),MarDom1+30,""))</f>
        <v>43914</v>
      </c>
      <c r="E18" s="36">
        <f>IF(DAY(MarDom1)=1,IF(AND(YEAR(MarDom1+24)=AñoCalendario,MONTH(MarDom1+24)=3),MarDom1+24,""),IF(AND(YEAR(MarDom1+31)=AñoCalendario,MONTH(MarDom1+31)=3),MarDom1+31,""))</f>
        <v>43915</v>
      </c>
      <c r="F18" s="38">
        <f>IF(DAY(MarDom1)=1,IF(AND(YEAR(MarDom1+25)=AñoCalendario,MONTH(MarDom1+25)=3),MarDom1+25,""),IF(AND(YEAR(MarDom1+32)=AñoCalendario,MONTH(MarDom1+32)=3),MarDom1+32,""))</f>
        <v>43916</v>
      </c>
      <c r="G18" s="38">
        <f>IF(DAY(MarDom1)=1,IF(AND(YEAR(MarDom1+26)=AñoCalendario,MONTH(MarDom1+26)=3),MarDom1+26,""),IF(AND(YEAR(MarDom1+33)=AñoCalendario,MONTH(MarDom1+33)=3),MarDom1+33,""))</f>
        <v>43917</v>
      </c>
      <c r="H18" s="11">
        <f>IF(DAY(MarDom1)=1,IF(AND(YEAR(MarDom1+27)=AñoCalendario,MONTH(MarDom1+27)=3),MarDom1+27,""),IF(AND(YEAR(MarDom1+34)=AñoCalendario,MONTH(MarDom1+34)=3),MarDom1+34,""))</f>
        <v>43918</v>
      </c>
      <c r="I18" s="15">
        <f>IF(DAY(MarDom1)=1,IF(AND(YEAR(MarDom1+28)=AñoCalendario,MONTH(MarDom1+28)=3),MarDom1+28,""),IF(AND(YEAR(MarDom1+35)=AñoCalendario,MONTH(MarDom1+35)=3),MarDom1+35,""))</f>
        <v>43919</v>
      </c>
      <c r="J18" s="8"/>
      <c r="K18" s="38">
        <f>IF(DAY(AbrDom1)=1,IF(AND(YEAR(AbrDom1+22)=AñoCalendario,MONTH(AbrDom1+22)=4),AbrDom1+22,""),IF(AND(YEAR(AbrDom1+29)=AñoCalendario,MONTH(AbrDom1+29)=4),AbrDom1+29,""))</f>
        <v>43948</v>
      </c>
      <c r="L18" s="38">
        <f>IF(DAY(AbrDom1)=1,IF(AND(YEAR(AbrDom1+23)=AñoCalendario,MONTH(AbrDom1+23)=4),AbrDom1+23,""),IF(AND(YEAR(AbrDom1+30)=AñoCalendario,MONTH(AbrDom1+30)=4),AbrDom1+30,""))</f>
        <v>43949</v>
      </c>
      <c r="M18" s="38">
        <f>IF(DAY(AbrDom1)=1,IF(AND(YEAR(AbrDom1+24)=AñoCalendario,MONTH(AbrDom1+24)=4),AbrDom1+24,""),IF(AND(YEAR(AbrDom1+31)=AñoCalendario,MONTH(AbrDom1+31)=4),AbrDom1+31,""))</f>
        <v>43950</v>
      </c>
      <c r="N18" s="38">
        <f>IF(DAY(AbrDom1)=1,IF(AND(YEAR(AbrDom1+25)=AñoCalendario,MONTH(AbrDom1+25)=4),AbrDom1+25,""),IF(AND(YEAR(AbrDom1+32)=AñoCalendario,MONTH(AbrDom1+32)=4),AbrDom1+32,""))</f>
        <v>43951</v>
      </c>
      <c r="O18" s="11" t="str">
        <f>IF(DAY(AbrDom1)=1,IF(AND(YEAR(AbrDom1+26)=AñoCalendario,MONTH(AbrDom1+26)=4),AbrDom1+26,""),IF(AND(YEAR(AbrDom1+33)=AñoCalendario,MONTH(AbrDom1+33)=4),AbrDom1+33,""))</f>
        <v/>
      </c>
      <c r="P18" s="11" t="str">
        <f>IF(DAY(AbrDom1)=1,IF(AND(YEAR(AbrDom1+27)=AñoCalendario,MONTH(AbrDom1+27)=4),AbrDom1+27,""),IF(AND(YEAR(AbrDom1+34)=AñoCalendario,MONTH(AbrDom1+34)=4),AbrDom1+34,""))</f>
        <v/>
      </c>
      <c r="Q18" s="11" t="str">
        <f>IF(DAY(AbrDom1)=1,IF(AND(YEAR(AbrDom1+28)=AñoCalendario,MONTH(AbrDom1+28)=4),AbrDom1+28,""),IF(AND(YEAR(AbrDom1+35)=AñoCalendario,MONTH(AbrDom1+35)=4),AbrDom1+35,""))</f>
        <v/>
      </c>
      <c r="S18" s="25"/>
      <c r="T18" s="50" t="s">
        <v>23</v>
      </c>
      <c r="U18" s="74" t="s">
        <v>38</v>
      </c>
      <c r="V18" s="74"/>
      <c r="W18" s="34"/>
    </row>
    <row r="19" spans="1:23" ht="15" customHeight="1" x14ac:dyDescent="0.3">
      <c r="A19" s="24"/>
      <c r="C19" s="39">
        <f>IF(DAY(MarDom1)=1,IF(AND(YEAR(MarDom1+29)=AñoCalendario,MONTH(MarDom1+29)=3),MarDom1+29,""),IF(AND(YEAR(MarDom1+36)=AñoCalendario,MONTH(MarDom1+36)=3),MarDom1+36,""))</f>
        <v>43920</v>
      </c>
      <c r="D19" s="40">
        <f>IF(DAY(MarDom1)=1,IF(AND(YEAR(MarDom1+30)=AñoCalendario,MONTH(MarDom1+30)=3),MarDom1+30,""),IF(AND(YEAR(MarDom1+37)=AñoCalendario,MONTH(MarDom1+37)=3),MarDom1+37,""))</f>
        <v>43921</v>
      </c>
      <c r="E19" s="13" t="str">
        <f>IF(DAY(MarDom1)=1,IF(AND(YEAR(MarDom1+31)=AñoCalendario,MONTH(MarDom1+31)=3),MarDom1+31,""),IF(AND(YEAR(MarDom1+38)=AñoCalendario,MONTH(MarDom1+38)=3),MarDom1+38,""))</f>
        <v/>
      </c>
      <c r="F19" s="13" t="str">
        <f>IF(DAY(MarDom1)=1,IF(AND(YEAR(MarDom1+32)=AñoCalendario,MONTH(MarDom1+32)=3),MarDom1+32,""),IF(AND(YEAR(MarDom1+39)=AñoCalendario,MONTH(MarDom1+39)=3),MarDom1+39,""))</f>
        <v/>
      </c>
      <c r="G19" s="13" t="str">
        <f>IF(DAY(MarDom1)=1,IF(AND(YEAR(MarDom1+33)=AñoCalendario,MONTH(MarDom1+33)=3),MarDom1+33,""),IF(AND(YEAR(MarDom1+40)=AñoCalendario,MONTH(MarDom1+40)=3),MarDom1+40,""))</f>
        <v/>
      </c>
      <c r="H19" s="13" t="str">
        <f>IF(DAY(MarDom1)=1,IF(AND(YEAR(MarDom1+34)=AñoCalendario,MONTH(MarDom1+34)=3),MarDom1+34,""),IF(AND(YEAR(MarDom1+41)=AñoCalendario,MONTH(MarDom1+41)=3),MarDom1+41,""))</f>
        <v/>
      </c>
      <c r="I19" s="14" t="str">
        <f>IF(DAY(MarDom1)=1,IF(AND(YEAR(MarDom1+35)=AñoCalendario,MONTH(MarDom1+35)=3),MarDom1+35,""),IF(AND(YEAR(MarDom1+42)=AñoCalendario,MONTH(MarDom1+42)=3),MarDom1+42,""))</f>
        <v/>
      </c>
      <c r="J19" s="8"/>
      <c r="K19" s="10" t="str">
        <f>IF(DAY(AbrDom1)=1,IF(AND(YEAR(AbrDom1+29)=AñoCalendario,MONTH(AbrDom1+29)=4),AbrDom1+29,""),IF(AND(YEAR(AbrDom1+36)=AñoCalendario,MONTH(AbrDom1+36)=4),AbrDom1+36,""))</f>
        <v/>
      </c>
      <c r="L19" s="10" t="str">
        <f>IF(DAY(AbrDom1)=1,IF(AND(YEAR(AbrDom1+30)=AñoCalendario,MONTH(AbrDom1+30)=4),AbrDom1+30,""),IF(AND(YEAR(AbrDom1+37)=AñoCalendario,MONTH(AbrDom1+37)=4),AbrDom1+37,""))</f>
        <v/>
      </c>
      <c r="M19" s="10" t="str">
        <f>IF(DAY(AbrDom1)=1,IF(AND(YEAR(AbrDom1+31)=AñoCalendario,MONTH(AbrDom1+31)=4),AbrDom1+31,""),IF(AND(YEAR(AbrDom1+38)=AñoCalendario,MONTH(AbrDom1+38)=4),AbrDom1+38,""))</f>
        <v/>
      </c>
      <c r="N19" s="10" t="str">
        <f>IF(DAY(AbrDom1)=1,IF(AND(YEAR(AbrDom1+32)=AñoCalendario,MONTH(AbrDom1+32)=4),AbrDom1+32,""),IF(AND(YEAR(AbrDom1+39)=AñoCalendario,MONTH(AbrDom1+39)=4),AbrDom1+39,""))</f>
        <v/>
      </c>
      <c r="O19" s="10" t="str">
        <f>IF(DAY(AbrDom1)=1,IF(AND(YEAR(AbrDom1+33)=AñoCalendario,MONTH(AbrDom1+33)=4),AbrDom1+33,""),IF(AND(YEAR(AbrDom1+40)=AñoCalendario,MONTH(AbrDom1+40)=4),AbrDom1+40,""))</f>
        <v/>
      </c>
      <c r="P19" s="10" t="str">
        <f>IF(DAY(AbrDom1)=1,IF(AND(YEAR(AbrDom1+34)=AñoCalendario,MONTH(AbrDom1+34)=4),AbrDom1+34,""),IF(AND(YEAR(AbrDom1+41)=AñoCalendario,MONTH(AbrDom1+41)=4),AbrDom1+41,""))</f>
        <v/>
      </c>
      <c r="Q19" s="10" t="str">
        <f>IF(DAY(AbrDom1)=1,IF(AND(YEAR(AbrDom1+35)=AñoCalendario,MONTH(AbrDom1+35)=4),AbrDom1+35,""),IF(AND(YEAR(AbrDom1+42)=AñoCalendario,MONTH(AbrDom1+42)=4),AbrDom1+42,""))</f>
        <v/>
      </c>
      <c r="S19" s="25"/>
      <c r="U19" s="5"/>
      <c r="V19" s="28"/>
      <c r="W19" s="34"/>
    </row>
    <row r="20" spans="1:23" ht="15" customHeight="1" x14ac:dyDescent="0.35">
      <c r="A20" s="24"/>
      <c r="J20" s="8"/>
      <c r="S20" s="25"/>
      <c r="T20" s="75" t="s">
        <v>40</v>
      </c>
      <c r="U20" s="76"/>
      <c r="V20" s="77"/>
      <c r="W20" s="34"/>
    </row>
    <row r="21" spans="1:23" ht="15" customHeight="1" x14ac:dyDescent="0.3">
      <c r="A21" s="23"/>
      <c r="C21" s="66" t="s">
        <v>3</v>
      </c>
      <c r="D21" s="66"/>
      <c r="E21" s="66"/>
      <c r="F21" s="66"/>
      <c r="G21" s="66"/>
      <c r="H21" s="66"/>
      <c r="I21" s="66"/>
      <c r="J21" s="8"/>
      <c r="K21" s="66" t="s">
        <v>15</v>
      </c>
      <c r="L21" s="66"/>
      <c r="M21" s="66"/>
      <c r="N21" s="66"/>
      <c r="O21" s="66"/>
      <c r="P21" s="66"/>
      <c r="Q21" s="66"/>
      <c r="S21" s="26"/>
      <c r="T21" s="50" t="s">
        <v>22</v>
      </c>
      <c r="U21" s="79" t="s">
        <v>45</v>
      </c>
      <c r="V21" s="79"/>
      <c r="W21" s="34"/>
    </row>
    <row r="22" spans="1:23" ht="15" customHeight="1" x14ac:dyDescent="0.3">
      <c r="A22" s="23"/>
      <c r="C22" s="18" t="s">
        <v>1</v>
      </c>
      <c r="D22" s="18" t="s">
        <v>7</v>
      </c>
      <c r="E22" s="18" t="s">
        <v>8</v>
      </c>
      <c r="F22" s="18" t="s">
        <v>9</v>
      </c>
      <c r="G22" s="18" t="s">
        <v>10</v>
      </c>
      <c r="H22" s="18" t="s">
        <v>11</v>
      </c>
      <c r="I22" s="19" t="s">
        <v>12</v>
      </c>
      <c r="J22" s="8"/>
      <c r="K22" s="18" t="s">
        <v>1</v>
      </c>
      <c r="L22" s="18" t="s">
        <v>7</v>
      </c>
      <c r="M22" s="18" t="s">
        <v>8</v>
      </c>
      <c r="N22" s="18" t="s">
        <v>9</v>
      </c>
      <c r="O22" s="18" t="s">
        <v>10</v>
      </c>
      <c r="P22" s="18" t="s">
        <v>11</v>
      </c>
      <c r="Q22" s="19" t="s">
        <v>12</v>
      </c>
      <c r="S22" s="25"/>
      <c r="T22" s="50" t="s">
        <v>23</v>
      </c>
      <c r="U22" s="86" t="s">
        <v>39</v>
      </c>
      <c r="V22" s="86"/>
      <c r="W22" s="34"/>
    </row>
    <row r="23" spans="1:23" ht="15" customHeight="1" x14ac:dyDescent="0.25">
      <c r="A23" s="23"/>
      <c r="C23" s="11" t="str">
        <f>IF(DAY(MayDom1)=1,"",IF(AND(YEAR(MayDom1+1)=AñoCalendario,MONTH(MayDom1+1)=5),MayDom1+1,""))</f>
        <v/>
      </c>
      <c r="D23" s="11" t="str">
        <f>IF(DAY(MayDom1)=1,"",IF(AND(YEAR(MayDom1+2)=AñoCalendario,MONTH(MayDom1+2)=5),MayDom1+2,""))</f>
        <v/>
      </c>
      <c r="E23" s="11" t="str">
        <f>IF(DAY(MayDom1)=1,"",IF(AND(YEAR(MayDom1+3)=AñoCalendario,MONTH(MayDom1+3)=5),MayDom1+3,""))</f>
        <v/>
      </c>
      <c r="F23" s="11" t="str">
        <f>IF(DAY(MayDom1)=1,"",IF(AND(YEAR(MayDom1+4)=AñoCalendario,MONTH(MayDom1+4)=5),MayDom1+4,""))</f>
        <v/>
      </c>
      <c r="G23" s="38">
        <f>IF(DAY(MayDom1)=1,"",IF(AND(YEAR(MayDom1+5)=AñoCalendario,MONTH(MayDom1+5)=5),MayDom1+5,""))</f>
        <v>43952</v>
      </c>
      <c r="H23" s="11">
        <f>IF(DAY(MayDom1)=1,"",IF(AND(YEAR(MayDom1+6)=AñoCalendario,MONTH(MayDom1+6)=5),MayDom1+6,""))</f>
        <v>43953</v>
      </c>
      <c r="I23" s="16">
        <f>IF(DAY(MayDom1)=1,IF(AND(YEAR(MayDom1)=AñoCalendario,MONTH(MayDom1)=5),MayDom1,""),IF(AND(YEAR(MayDom1+7)=AñoCalendario,MONTH(MayDom1+7)=5),MayDom1+7,""))</f>
        <v>43954</v>
      </c>
      <c r="J23" s="9"/>
      <c r="K23" s="38">
        <f>IF(DAY(JunDom1)=1,"",IF(AND(YEAR(JunDom1+1)=AñoCalendario,MONTH(JunDom1+1)=6),JunDom1+1,""))</f>
        <v>43983</v>
      </c>
      <c r="L23" s="38">
        <f>IF(DAY(JunDom1)=1,"",IF(AND(YEAR(JunDom1+2)=AñoCalendario,MONTH(JunDom1+2)=6),JunDom1+2,""))</f>
        <v>43984</v>
      </c>
      <c r="M23" s="38">
        <f>IF(DAY(JunDom1)=1,"",IF(AND(YEAR(JunDom1+3)=AñoCalendario,MONTH(JunDom1+3)=6),JunDom1+3,""))</f>
        <v>43985</v>
      </c>
      <c r="N23" s="38">
        <f>IF(DAY(JunDom1)=1,"",IF(AND(YEAR(JunDom1+4)=AñoCalendario,MONTH(JunDom1+4)=6),JunDom1+4,""))</f>
        <v>43986</v>
      </c>
      <c r="O23" s="38">
        <f>IF(DAY(JunDom1)=1,"",IF(AND(YEAR(JunDom1+5)=AñoCalendario,MONTH(JunDom1+5)=6),JunDom1+5,""))</f>
        <v>43987</v>
      </c>
      <c r="P23" s="11">
        <f>IF(DAY(JunDom1)=1,"",IF(AND(YEAR(JunDom1+6)=AñoCalendario,MONTH(JunDom1+6)=6),JunDom1+6,""))</f>
        <v>43988</v>
      </c>
      <c r="Q23" s="16">
        <f>IF(DAY(JunDom1)=1,IF(AND(YEAR(JunDom1)=AñoCalendario,MONTH(JunDom1)=6),JunDom1,""),IF(AND(YEAR(JunDom1+7)=AñoCalendario,MONTH(JunDom1+7)=6),JunDom1+7,""))</f>
        <v>43989</v>
      </c>
      <c r="S23" s="25"/>
      <c r="U23" s="4"/>
      <c r="V23" s="28"/>
      <c r="W23" s="34"/>
    </row>
    <row r="24" spans="1:23" ht="15" customHeight="1" x14ac:dyDescent="0.35">
      <c r="A24" s="24"/>
      <c r="C24" s="38">
        <f>IF(DAY(MayDom1)=1,IF(AND(YEAR(MayDom1+1)=AñoCalendario,MONTH(MayDom1+1)=5),MayDom1+1,""),IF(AND(YEAR(MayDom1+8)=AñoCalendario,MONTH(MayDom1+8)=5),MayDom1+8,""))</f>
        <v>43955</v>
      </c>
      <c r="D24" s="38">
        <f>IF(DAY(MayDom1)=1,IF(AND(YEAR(MayDom1+2)=AñoCalendario,MONTH(MayDom1+2)=5),MayDom1+2,""),IF(AND(YEAR(MayDom1+9)=AñoCalendario,MONTH(MayDom1+9)=5),MayDom1+9,""))</f>
        <v>43956</v>
      </c>
      <c r="E24" s="38">
        <f>IF(DAY(MayDom1)=1,IF(AND(YEAR(MayDom1+3)=AñoCalendario,MONTH(MayDom1+3)=5),MayDom1+3,""),IF(AND(YEAR(MayDom1+10)=AñoCalendario,MONTH(MayDom1+10)=5),MayDom1+10,""))</f>
        <v>43957</v>
      </c>
      <c r="F24" s="38">
        <f>IF(DAY(MayDom1)=1,IF(AND(YEAR(MayDom1+4)=AñoCalendario,MONTH(MayDom1+4)=5),MayDom1+4,""),IF(AND(YEAR(MayDom1+11)=AñoCalendario,MONTH(MayDom1+11)=5),MayDom1+11,""))</f>
        <v>43958</v>
      </c>
      <c r="G24" s="38">
        <f>IF(DAY(MayDom1)=1,IF(AND(YEAR(MayDom1+5)=AñoCalendario,MONTH(MayDom1+5)=5),MayDom1+5,""),IF(AND(YEAR(MayDom1+12)=AñoCalendario,MONTH(MayDom1+12)=5),MayDom1+12,""))</f>
        <v>43959</v>
      </c>
      <c r="H24" s="11">
        <f>IF(DAY(MayDom1)=1,IF(AND(YEAR(MayDom1+6)=AñoCalendario,MONTH(MayDom1+6)=5),MayDom1+6,""),IF(AND(YEAR(MayDom1+13)=AñoCalendario,MONTH(MayDom1+13)=5),MayDom1+13,""))</f>
        <v>43960</v>
      </c>
      <c r="I24" s="16">
        <f>IF(DAY(MayDom1)=1,IF(AND(YEAR(MayDom1+7)=AñoCalendario,MONTH(MayDom1+7)=5),MayDom1+7,""),IF(AND(YEAR(MayDom1+14)=AñoCalendario,MONTH(MayDom1+14)=5),MayDom1+14,""))</f>
        <v>43961</v>
      </c>
      <c r="J24" s="8"/>
      <c r="K24" s="38">
        <f>IF(DAY(JunDom1)=1,IF(AND(YEAR(JunDom1+1)=AñoCalendario,MONTH(JunDom1+1)=6),JunDom1+1,""),IF(AND(YEAR(JunDom1+8)=AñoCalendario,MONTH(JunDom1+8)=6),JunDom1+8,""))</f>
        <v>43990</v>
      </c>
      <c r="L24" s="42">
        <f>IF(DAY(JunDom1)=1,IF(AND(YEAR(JunDom1+2)=AñoCalendario,MONTH(JunDom1+2)=6),JunDom1+2,""),IF(AND(YEAR(JunDom1+9)=AñoCalendario,MONTH(JunDom1+9)=6),JunDom1+9,""))</f>
        <v>43991</v>
      </c>
      <c r="M24" s="42">
        <f>IF(DAY(JunDom1)=1,IF(AND(YEAR(JunDom1+3)=AñoCalendario,MONTH(JunDom1+3)=6),JunDom1+3,""),IF(AND(YEAR(JunDom1+10)=AñoCalendario,MONTH(JunDom1+10)=6),JunDom1+10,""))</f>
        <v>43992</v>
      </c>
      <c r="N24" s="42">
        <f>IF(DAY(JunDom1)=1,IF(AND(YEAR(JunDom1+4)=AñoCalendario,MONTH(JunDom1+4)=6),JunDom1+4,""),IF(AND(YEAR(JunDom1+11)=AñoCalendario,MONTH(JunDom1+11)=6),JunDom1+11,""))</f>
        <v>43993</v>
      </c>
      <c r="O24" s="42">
        <f>IF(DAY(JunDom1)=1,IF(AND(YEAR(JunDom1+5)=AñoCalendario,MONTH(JunDom1+5)=6),JunDom1+5,""),IF(AND(YEAR(JunDom1+12)=AñoCalendario,MONTH(JunDom1+12)=6),JunDom1+12,""))</f>
        <v>43994</v>
      </c>
      <c r="P24" s="11">
        <f>IF(DAY(JunDom1)=1,IF(AND(YEAR(JunDom1+6)=AñoCalendario,MONTH(JunDom1+6)=6),JunDom1+6,""),IF(AND(YEAR(JunDom1+13)=AñoCalendario,MONTH(JunDom1+13)=6),JunDom1+13,""))</f>
        <v>43995</v>
      </c>
      <c r="Q24" s="16">
        <f>IF(DAY(JunDom1)=1,IF(AND(YEAR(JunDom1+7)=AñoCalendario,MONTH(JunDom1+7)=6),JunDom1+7,""),IF(AND(YEAR(JunDom1+14)=AñoCalendario,MONTH(JunDom1+14)=6),JunDom1+14,""))</f>
        <v>43996</v>
      </c>
      <c r="S24" s="25"/>
      <c r="T24" s="91" t="s">
        <v>47</v>
      </c>
      <c r="U24" s="91"/>
      <c r="V24" s="91"/>
      <c r="W24" s="34"/>
    </row>
    <row r="25" spans="1:23" ht="15" customHeight="1" x14ac:dyDescent="0.3">
      <c r="A25" s="24"/>
      <c r="C25" s="38">
        <f>IF(DAY(MayDom1)=1,IF(AND(YEAR(MayDom1+8)=AñoCalendario,MONTH(MayDom1+8)=5),MayDom1+8,""),IF(AND(YEAR(MayDom1+15)=AñoCalendario,MONTH(MayDom1+15)=5),MayDom1+15,""))</f>
        <v>43962</v>
      </c>
      <c r="D25" s="38">
        <f>IF(DAY(MayDom1)=1,IF(AND(YEAR(MayDom1+9)=AñoCalendario,MONTH(MayDom1+9)=5),MayDom1+9,""),IF(AND(YEAR(MayDom1+16)=AñoCalendario,MONTH(MayDom1+16)=5),MayDom1+16,""))</f>
        <v>43963</v>
      </c>
      <c r="E25" s="38">
        <f>IF(DAY(MayDom1)=1,IF(AND(YEAR(MayDom1+10)=AñoCalendario,MONTH(MayDom1+10)=5),MayDom1+10,""),IF(AND(YEAR(MayDom1+17)=AñoCalendario,MONTH(MayDom1+17)=5),MayDom1+17,""))</f>
        <v>43964</v>
      </c>
      <c r="F25" s="38">
        <f>IF(DAY(MayDom1)=1,IF(AND(YEAR(MayDom1+11)=AñoCalendario,MONTH(MayDom1+11)=5),MayDom1+11,""),IF(AND(YEAR(MayDom1+18)=AñoCalendario,MONTH(MayDom1+18)=5),MayDom1+18,""))</f>
        <v>43965</v>
      </c>
      <c r="G25" s="38">
        <f>IF(DAY(MayDom1)=1,IF(AND(YEAR(MayDom1+12)=AñoCalendario,MONTH(MayDom1+12)=5),MayDom1+12,""),IF(AND(YEAR(MayDom1+19)=AñoCalendario,MONTH(MayDom1+19)=5),MayDom1+19,""))</f>
        <v>43966</v>
      </c>
      <c r="H25" s="11">
        <f>IF(DAY(MayDom1)=1,IF(AND(YEAR(MayDom1+13)=AñoCalendario,MONTH(MayDom1+13)=5),MayDom1+13,""),IF(AND(YEAR(MayDom1+20)=AñoCalendario,MONTH(MayDom1+20)=5),MayDom1+20,""))</f>
        <v>43967</v>
      </c>
      <c r="I25" s="16">
        <f>IF(DAY(MayDom1)=1,IF(AND(YEAR(MayDom1+14)=AñoCalendario,MONTH(MayDom1+14)=5),MayDom1+14,""),IF(AND(YEAR(MayDom1+21)=AñoCalendario,MONTH(MayDom1+21)=5),MayDom1+21,""))</f>
        <v>43968</v>
      </c>
      <c r="J25" s="8"/>
      <c r="K25" s="48">
        <f>IF(DAY(JunDom1)=1,IF(AND(YEAR(JunDom1+8)=AñoCalendario,MONTH(JunDom1+8)=6),JunDom1+8,""),IF(AND(YEAR(JunDom1+15)=AñoCalendario,MONTH(JunDom1+15)=6),JunDom1+15,""))</f>
        <v>43997</v>
      </c>
      <c r="L25" s="48">
        <f>IF(DAY(JunDom1)=1,IF(AND(YEAR(JunDom1+9)=AñoCalendario,MONTH(JunDom1+9)=6),JunDom1+9,""),IF(AND(YEAR(JunDom1+16)=AñoCalendario,MONTH(JunDom1+16)=6),JunDom1+16,""))</f>
        <v>43998</v>
      </c>
      <c r="M25" s="48">
        <f>IF(DAY(JunDom1)=1,IF(AND(YEAR(JunDom1+10)=AñoCalendario,MONTH(JunDom1+10)=6),JunDom1+10,""),IF(AND(YEAR(JunDom1+17)=AñoCalendario,MONTH(JunDom1+17)=6),JunDom1+17,""))</f>
        <v>43999</v>
      </c>
      <c r="N25" s="48">
        <f>IF(DAY(JunDom1)=1,IF(AND(YEAR(JunDom1+11)=AñoCalendario,MONTH(JunDom1+11)=6),JunDom1+11,""),IF(AND(YEAR(JunDom1+18)=AñoCalendario,MONTH(JunDom1+18)=6),JunDom1+18,""))</f>
        <v>44000</v>
      </c>
      <c r="O25" s="48">
        <f>IF(DAY(JunDom1)=1,IF(AND(YEAR(JunDom1+12)=AñoCalendario,MONTH(JunDom1+12)=6),JunDom1+12,""),IF(AND(YEAR(JunDom1+19)=AñoCalendario,MONTH(JunDom1+19)=6),JunDom1+19,""))</f>
        <v>44001</v>
      </c>
      <c r="P25" s="11">
        <f>IF(DAY(JunDom1)=1,IF(AND(YEAR(JunDom1+13)=AñoCalendario,MONTH(JunDom1+13)=6),JunDom1+13,""),IF(AND(YEAR(JunDom1+20)=AñoCalendario,MONTH(JunDom1+20)=6),JunDom1+20,""))</f>
        <v>44002</v>
      </c>
      <c r="Q25" s="16">
        <f>IF(DAY(JunDom1)=1,IF(AND(YEAR(JunDom1+14)=AñoCalendario,MONTH(JunDom1+14)=6),JunDom1+14,""),IF(AND(YEAR(JunDom1+21)=AñoCalendario,MONTH(JunDom1+21)=6),JunDom1+21,""))</f>
        <v>44003</v>
      </c>
      <c r="S25" s="25"/>
      <c r="U25" s="29" t="s">
        <v>69</v>
      </c>
      <c r="V25" s="28"/>
      <c r="W25" s="34"/>
    </row>
    <row r="26" spans="1:23" ht="15" customHeight="1" x14ac:dyDescent="0.3">
      <c r="A26" s="24"/>
      <c r="C26" s="38">
        <f>IF(DAY(MayDom1)=1,IF(AND(YEAR(MayDom1+15)=AñoCalendario,MONTH(MayDom1+15)=5),MayDom1+15,""),IF(AND(YEAR(MayDom1+22)=AñoCalendario,MONTH(MayDom1+22)=5),MayDom1+22,""))</f>
        <v>43969</v>
      </c>
      <c r="D26" s="38">
        <f>IF(DAY(MayDom1)=1,IF(AND(YEAR(MayDom1+16)=AñoCalendario,MONTH(MayDom1+16)=5),MayDom1+16,""),IF(AND(YEAR(MayDom1+23)=AñoCalendario,MONTH(MayDom1+23)=5),MayDom1+23,""))</f>
        <v>43970</v>
      </c>
      <c r="E26" s="38">
        <f>IF(DAY(MayDom1)=1,IF(AND(YEAR(MayDom1+17)=AñoCalendario,MONTH(MayDom1+17)=5),MayDom1+17,""),IF(AND(YEAR(MayDom1+24)=AñoCalendario,MONTH(MayDom1+24)=5),MayDom1+24,""))</f>
        <v>43971</v>
      </c>
      <c r="F26" s="38">
        <f>IF(DAY(MayDom1)=1,IF(AND(YEAR(MayDom1+18)=AñoCalendario,MONTH(MayDom1+18)=5),MayDom1+18,""),IF(AND(YEAR(MayDom1+25)=AñoCalendario,MONTH(MayDom1+25)=5),MayDom1+25,""))</f>
        <v>43972</v>
      </c>
      <c r="G26" s="38">
        <f>IF(DAY(MayDom1)=1,IF(AND(YEAR(MayDom1+19)=AñoCalendario,MONTH(MayDom1+19)=5),MayDom1+19,""),IF(AND(YEAR(MayDom1+26)=AñoCalendario,MONTH(MayDom1+26)=5),MayDom1+26,""))</f>
        <v>43973</v>
      </c>
      <c r="H26" s="11">
        <f>IF(DAY(MayDom1)=1,IF(AND(YEAR(MayDom1+20)=AñoCalendario,MONTH(MayDom1+20)=5),MayDom1+20,""),IF(AND(YEAR(MayDom1+27)=AñoCalendario,MONTH(MayDom1+27)=5),MayDom1+27,""))</f>
        <v>43974</v>
      </c>
      <c r="I26" s="16">
        <f>IF(DAY(MayDom1)=1,IF(AND(YEAR(MayDom1+21)=AñoCalendario,MONTH(MayDom1+21)=5),MayDom1+21,""),IF(AND(YEAR(MayDom1+28)=AñoCalendario,MONTH(MayDom1+28)=5),MayDom1+28,""))</f>
        <v>43975</v>
      </c>
      <c r="J26" s="8"/>
      <c r="K26" s="48">
        <f>IF(DAY(JunDom1)=1,IF(AND(YEAR(JunDom1+15)=AñoCalendario,MONTH(JunDom1+15)=6),JunDom1+15,""),IF(AND(YEAR(JunDom1+22)=AñoCalendario,MONTH(JunDom1+22)=6),JunDom1+22,""))</f>
        <v>44004</v>
      </c>
      <c r="L26" s="48">
        <f>IF(DAY(JunDom1)=1,IF(AND(YEAR(JunDom1+16)=AñoCalendario,MONTH(JunDom1+16)=6),JunDom1+16,""),IF(AND(YEAR(JunDom1+23)=AñoCalendario,MONTH(JunDom1+23)=6),JunDom1+23,""))</f>
        <v>44005</v>
      </c>
      <c r="M26" s="48">
        <f>IF(DAY(JunDom1)=1,IF(AND(YEAR(JunDom1+17)=AñoCalendario,MONTH(JunDom1+17)=6),JunDom1+17,""),IF(AND(YEAR(JunDom1+24)=AñoCalendario,MONTH(JunDom1+24)=6),JunDom1+24,""))</f>
        <v>44006</v>
      </c>
      <c r="N26" s="48">
        <f>IF(DAY(JunDom1)=1,IF(AND(YEAR(JunDom1+18)=AñoCalendario,MONTH(JunDom1+18)=6),JunDom1+18,""),IF(AND(YEAR(JunDom1+25)=AñoCalendario,MONTH(JunDom1+25)=6),JunDom1+25,""))</f>
        <v>44007</v>
      </c>
      <c r="O26" s="48">
        <f>IF(DAY(JunDom1)=1,IF(AND(YEAR(JunDom1+19)=AñoCalendario,MONTH(JunDom1+19)=6),JunDom1+19,""),IF(AND(YEAR(JunDom1+26)=AñoCalendario,MONTH(JunDom1+26)=6),JunDom1+26,""))</f>
        <v>44008</v>
      </c>
      <c r="P26" s="11">
        <f>IF(DAY(JunDom1)=1,IF(AND(YEAR(JunDom1+20)=AñoCalendario,MONTH(JunDom1+20)=6),JunDom1+20,""),IF(AND(YEAR(JunDom1+27)=AñoCalendario,MONTH(JunDom1+27)=6),JunDom1+27,""))</f>
        <v>44009</v>
      </c>
      <c r="Q26" s="16">
        <f>IF(DAY(JunDom1)=1,IF(AND(YEAR(JunDom1+21)=AñoCalendario,MONTH(JunDom1+21)=6),JunDom1+21,""),IF(AND(YEAR(JunDom1+28)=AñoCalendario,MONTH(JunDom1+28)=6),JunDom1+28,""))</f>
        <v>44010</v>
      </c>
      <c r="S26" s="25"/>
      <c r="U26" s="29" t="s">
        <v>70</v>
      </c>
      <c r="W26" s="34"/>
    </row>
    <row r="27" spans="1:23" ht="15" customHeight="1" x14ac:dyDescent="0.3">
      <c r="A27" s="24"/>
      <c r="C27" s="38">
        <f>IF(DAY(MayDom1)=1,IF(AND(YEAR(MayDom1+22)=AñoCalendario,MONTH(MayDom1+22)=5),MayDom1+22,""),IF(AND(YEAR(MayDom1+29)=AñoCalendario,MONTH(MayDom1+29)=5),MayDom1+29,""))</f>
        <v>43976</v>
      </c>
      <c r="D27" s="38">
        <f>IF(DAY(MayDom1)=1,IF(AND(YEAR(MayDom1+23)=AñoCalendario,MONTH(MayDom1+23)=5),MayDom1+23,""),IF(AND(YEAR(MayDom1+30)=AñoCalendario,MONTH(MayDom1+30)=5),MayDom1+30,""))</f>
        <v>43977</v>
      </c>
      <c r="E27" s="38">
        <f>IF(DAY(MayDom1)=1,IF(AND(YEAR(MayDom1+24)=AñoCalendario,MONTH(MayDom1+24)=5),MayDom1+24,""),IF(AND(YEAR(MayDom1+31)=AñoCalendario,MONTH(MayDom1+31)=5),MayDom1+31,""))</f>
        <v>43978</v>
      </c>
      <c r="F27" s="38">
        <f>IF(DAY(MayDom1)=1,IF(AND(YEAR(MayDom1+25)=AñoCalendario,MONTH(MayDom1+25)=5),MayDom1+25,""),IF(AND(YEAR(MayDom1+32)=AñoCalendario,MONTH(MayDom1+32)=5),MayDom1+32,""))</f>
        <v>43979</v>
      </c>
      <c r="G27" s="38">
        <f>IF(DAY(MayDom1)=1,IF(AND(YEAR(MayDom1+26)=AñoCalendario,MONTH(MayDom1+26)=5),MayDom1+26,""),IF(AND(YEAR(MayDom1+33)=AñoCalendario,MONTH(MayDom1+33)=5),MayDom1+33,""))</f>
        <v>43980</v>
      </c>
      <c r="H27" s="11">
        <f>IF(DAY(MayDom1)=1,IF(AND(YEAR(MayDom1+27)=AñoCalendario,MONTH(MayDom1+27)=5),MayDom1+27,""),IF(AND(YEAR(MayDom1+34)=AñoCalendario,MONTH(MayDom1+34)=5),MayDom1+34,""))</f>
        <v>43981</v>
      </c>
      <c r="I27" s="16">
        <f>IF(DAY(MayDom1)=1,IF(AND(YEAR(MayDom1+28)=AñoCalendario,MONTH(MayDom1+28)=5),MayDom1+28,""),IF(AND(YEAR(MayDom1+35)=AñoCalendario,MONTH(MayDom1+35)=5),MayDom1+35,""))</f>
        <v>43982</v>
      </c>
      <c r="J27" s="8"/>
      <c r="K27" s="48">
        <f>IF(DAY(JunDom1)=1,IF(AND(YEAR(JunDom1+22)=AñoCalendario,MONTH(JunDom1+22)=6),JunDom1+22,""),IF(AND(YEAR(JunDom1+29)=AñoCalendario,MONTH(JunDom1+29)=6),JunDom1+29,""))</f>
        <v>44011</v>
      </c>
      <c r="L27" s="48">
        <f>IF(DAY(JunDom1)=1,IF(AND(YEAR(JunDom1+23)=AñoCalendario,MONTH(JunDom1+23)=6),JunDom1+23,""),IF(AND(YEAR(JunDom1+30)=AñoCalendario,MONTH(JunDom1+30)=6),JunDom1+30,""))</f>
        <v>44012</v>
      </c>
      <c r="M27" s="11" t="str">
        <f>IF(DAY(JunDom1)=1,IF(AND(YEAR(JunDom1+24)=AñoCalendario,MONTH(JunDom1+24)=6),JunDom1+24,""),IF(AND(YEAR(JunDom1+31)=AñoCalendario,MONTH(JunDom1+31)=6),JunDom1+31,""))</f>
        <v/>
      </c>
      <c r="N27" s="11" t="str">
        <f>IF(DAY(JunDom1)=1,IF(AND(YEAR(JunDom1+25)=AñoCalendario,MONTH(JunDom1+25)=6),JunDom1+25,""),IF(AND(YEAR(JunDom1+32)=AñoCalendario,MONTH(JunDom1+32)=6),JunDom1+32,""))</f>
        <v/>
      </c>
      <c r="O27" s="11" t="str">
        <f>IF(DAY(JunDom1)=1,IF(AND(YEAR(JunDom1+26)=AñoCalendario,MONTH(JunDom1+26)=6),JunDom1+26,""),IF(AND(YEAR(JunDom1+33)=AñoCalendario,MONTH(JunDom1+33)=6),JunDom1+33,""))</f>
        <v/>
      </c>
      <c r="P27" s="11" t="str">
        <f>IF(DAY(JunDom1)=1,IF(AND(YEAR(JunDom1+27)=AñoCalendario,MONTH(JunDom1+27)=6),JunDom1+27,""),IF(AND(YEAR(JunDom1+34)=AñoCalendario,MONTH(JunDom1+34)=6),JunDom1+34,""))</f>
        <v/>
      </c>
      <c r="Q27" s="11" t="str">
        <f>IF(DAY(JunDom1)=1,IF(AND(YEAR(JunDom1+28)=AñoCalendario,MONTH(JunDom1+28)=6),JunDom1+28,""),IF(AND(YEAR(JunDom1+35)=AñoCalendario,MONTH(JunDom1+35)=6),JunDom1+35,""))</f>
        <v/>
      </c>
      <c r="S27" s="25"/>
      <c r="U27" s="29" t="s">
        <v>62</v>
      </c>
      <c r="V27" s="28"/>
      <c r="W27" s="34"/>
    </row>
    <row r="28" spans="1:23" ht="15" customHeight="1" x14ac:dyDescent="0.35">
      <c r="A28" s="24"/>
      <c r="C28" s="10" t="str">
        <f>IF(DAY(MayDom1)=1,IF(AND(YEAR(MayDom1+29)=AñoCalendario,MONTH(MayDom1+29)=5),MayDom1+29,""),IF(AND(YEAR(MayDom1+36)=AñoCalendario,MONTH(MayDom1+36)=5),MayDom1+36,""))</f>
        <v/>
      </c>
      <c r="D28" s="10" t="str">
        <f>IF(DAY(MayDom1)=1,IF(AND(YEAR(MayDom1+30)=AñoCalendario,MONTH(MayDom1+30)=5),MayDom1+30,""),IF(AND(YEAR(MayDom1+37)=AñoCalendario,MONTH(MayDom1+37)=5),MayDom1+37,""))</f>
        <v/>
      </c>
      <c r="E28" s="10" t="str">
        <f>IF(DAY(MayDom1)=1,IF(AND(YEAR(MayDom1+31)=AñoCalendario,MONTH(MayDom1+31)=5),MayDom1+31,""),IF(AND(YEAR(MayDom1+38)=AñoCalendario,MONTH(MayDom1+38)=5),MayDom1+38,""))</f>
        <v/>
      </c>
      <c r="F28" s="10" t="str">
        <f>IF(DAY(MayDom1)=1,IF(AND(YEAR(MayDom1+32)=AñoCalendario,MONTH(MayDom1+32)=5),MayDom1+32,""),IF(AND(YEAR(MayDom1+39)=AñoCalendario,MONTH(MayDom1+39)=5),MayDom1+39,""))</f>
        <v/>
      </c>
      <c r="G28" s="10" t="str">
        <f>IF(DAY(MayDom1)=1,IF(AND(YEAR(MayDom1+33)=AñoCalendario,MONTH(MayDom1+33)=5),MayDom1+33,""),IF(AND(YEAR(MayDom1+40)=AñoCalendario,MONTH(MayDom1+40)=5),MayDom1+40,""))</f>
        <v/>
      </c>
      <c r="H28" s="10" t="str">
        <f>IF(DAY(MayDom1)=1,IF(AND(YEAR(MayDom1+34)=AñoCalendario,MONTH(MayDom1+34)=5),MayDom1+34,""),IF(AND(YEAR(MayDom1+41)=AñoCalendario,MONTH(MayDom1+41)=5),MayDom1+41,""))</f>
        <v/>
      </c>
      <c r="I28" s="10" t="str">
        <f>IF(DAY(MayDom1)=1,IF(AND(YEAR(MayDom1+35)=AñoCalendario,MONTH(MayDom1+35)=5),MayDom1+35,""),IF(AND(YEAR(MayDom1+42)=AñoCalendario,MONTH(MayDom1+42)=5),MayDom1+42,""))</f>
        <v/>
      </c>
      <c r="J28" s="8"/>
      <c r="K28" s="10" t="str">
        <f>IF(DAY(JunDom1)=1,IF(AND(YEAR(JunDom1+29)=AñoCalendario,MONTH(JunDom1+29)=6),JunDom1+29,""),IF(AND(YEAR(JunDom1+36)=AñoCalendario,MONTH(JunDom1+36)=6),JunDom1+36,""))</f>
        <v/>
      </c>
      <c r="L28" s="10" t="str">
        <f>IF(DAY(JunDom1)=1,IF(AND(YEAR(JunDom1+30)=AñoCalendario,MONTH(JunDom1+30)=6),JunDom1+30,""),IF(AND(YEAR(JunDom1+37)=AñoCalendario,MONTH(JunDom1+37)=6),JunDom1+37,""))</f>
        <v/>
      </c>
      <c r="M28" s="10" t="str">
        <f>IF(DAY(JunDom1)=1,IF(AND(YEAR(JunDom1+31)=AñoCalendario,MONTH(JunDom1+31)=6),JunDom1+31,""),IF(AND(YEAR(JunDom1+38)=AñoCalendario,MONTH(JunDom1+38)=6),JunDom1+38,""))</f>
        <v/>
      </c>
      <c r="N28" s="10" t="str">
        <f>IF(DAY(JunDom1)=1,IF(AND(YEAR(JunDom1+32)=AñoCalendario,MONTH(JunDom1+32)=6),JunDom1+32,""),IF(AND(YEAR(JunDom1+39)=AñoCalendario,MONTH(JunDom1+39)=6),JunDom1+39,""))</f>
        <v/>
      </c>
      <c r="O28" s="10" t="str">
        <f>IF(DAY(JunDom1)=1,IF(AND(YEAR(JunDom1+33)=AñoCalendario,MONTH(JunDom1+33)=6),JunDom1+33,""),IF(AND(YEAR(JunDom1+40)=AñoCalendario,MONTH(JunDom1+40)=6),JunDom1+40,""))</f>
        <v/>
      </c>
      <c r="P28" s="10" t="str">
        <f>IF(DAY(JunDom1)=1,IF(AND(YEAR(JunDom1+34)=AñoCalendario,MONTH(JunDom1+34)=6),JunDom1+34,""),IF(AND(YEAR(JunDom1+41)=AñoCalendario,MONTH(JunDom1+41)=6),JunDom1+41,""))</f>
        <v/>
      </c>
      <c r="Q28" s="10" t="str">
        <f>IF(DAY(JunDom1)=1,IF(AND(YEAR(JunDom1+35)=AñoCalendario,MONTH(JunDom1+35)=6),JunDom1+35,""),IF(AND(YEAR(JunDom1+42)=AñoCalendario,MONTH(JunDom1+42)=6),JunDom1+42,""))</f>
        <v/>
      </c>
      <c r="S28" s="25"/>
      <c r="T28" s="91" t="s">
        <v>48</v>
      </c>
      <c r="U28" s="91"/>
      <c r="V28" s="91"/>
      <c r="W28" s="34"/>
    </row>
    <row r="29" spans="1:23" ht="15" customHeight="1" x14ac:dyDescent="0.3">
      <c r="A29" s="24"/>
      <c r="J29" s="8"/>
      <c r="S29" s="25"/>
      <c r="T29" s="93" t="s">
        <v>63</v>
      </c>
      <c r="U29" s="93"/>
      <c r="V29" s="93"/>
      <c r="W29" s="34"/>
    </row>
    <row r="30" spans="1:23" ht="15" customHeight="1" x14ac:dyDescent="0.35">
      <c r="A30" s="23"/>
      <c r="C30" s="66" t="s">
        <v>4</v>
      </c>
      <c r="D30" s="66"/>
      <c r="E30" s="66"/>
      <c r="F30" s="66"/>
      <c r="G30" s="66"/>
      <c r="H30" s="66"/>
      <c r="I30" s="66"/>
      <c r="J30" s="8"/>
      <c r="K30" s="66" t="s">
        <v>16</v>
      </c>
      <c r="L30" s="66"/>
      <c r="M30" s="66"/>
      <c r="N30" s="66"/>
      <c r="O30" s="66"/>
      <c r="P30" s="66"/>
      <c r="Q30" s="66"/>
      <c r="S30" s="25"/>
      <c r="T30" s="91" t="s">
        <v>49</v>
      </c>
      <c r="U30" s="91"/>
      <c r="V30" s="91"/>
      <c r="W30" s="34"/>
    </row>
    <row r="31" spans="1:23" ht="15" customHeight="1" x14ac:dyDescent="0.3">
      <c r="A31" s="23"/>
      <c r="C31" s="18" t="s">
        <v>1</v>
      </c>
      <c r="D31" s="18" t="s">
        <v>7</v>
      </c>
      <c r="E31" s="18" t="s">
        <v>8</v>
      </c>
      <c r="F31" s="18" t="s">
        <v>9</v>
      </c>
      <c r="G31" s="18" t="s">
        <v>10</v>
      </c>
      <c r="H31" s="18" t="s">
        <v>11</v>
      </c>
      <c r="I31" s="19" t="s">
        <v>12</v>
      </c>
      <c r="J31" s="8"/>
      <c r="K31" s="20" t="s">
        <v>1</v>
      </c>
      <c r="L31" s="21" t="s">
        <v>7</v>
      </c>
      <c r="M31" s="21" t="s">
        <v>8</v>
      </c>
      <c r="N31" s="21" t="s">
        <v>9</v>
      </c>
      <c r="O31" s="21" t="s">
        <v>10</v>
      </c>
      <c r="P31" s="21" t="s">
        <v>11</v>
      </c>
      <c r="Q31" s="22" t="s">
        <v>12</v>
      </c>
      <c r="S31" s="25"/>
      <c r="T31" s="94" t="s">
        <v>53</v>
      </c>
      <c r="U31" s="94"/>
      <c r="V31" s="94"/>
      <c r="W31" s="34"/>
    </row>
    <row r="32" spans="1:23" ht="15" customHeight="1" x14ac:dyDescent="0.35">
      <c r="A32" s="23"/>
      <c r="C32" s="11" t="str">
        <f>IF(DAY(JulDom1)=1,"",IF(AND(YEAR(JulDom1+1)=AñoCalendario,MONTH(JulDom1+1)=7),JulDom1+1,""))</f>
        <v/>
      </c>
      <c r="D32" s="11" t="str">
        <f>IF(DAY(JulDom1)=1,"",IF(AND(YEAR(JulDom1+2)=AñoCalendario,MONTH(JulDom1+2)=7),JulDom1+2,""))</f>
        <v/>
      </c>
      <c r="E32" s="48">
        <f>IF(DAY(JulDom1)=1,"",IF(AND(YEAR(JulDom1+3)=AñoCalendario,MONTH(JulDom1+3)=7),JulDom1+3,""))</f>
        <v>44013</v>
      </c>
      <c r="F32" s="48">
        <f>IF(DAY(JulDom1)=1,"",IF(AND(YEAR(JulDom1+4)=AñoCalendario,MONTH(JulDom1+4)=7),JulDom1+4,""))</f>
        <v>44014</v>
      </c>
      <c r="G32" s="48">
        <f>IF(DAY(JulDom1)=1,"",IF(AND(YEAR(JulDom1+5)=AñoCalendario,MONTH(JulDom1+5)=7),JulDom1+5,""))</f>
        <v>44015</v>
      </c>
      <c r="H32" s="11">
        <f>IF(DAY(JulDom1)=1,"",IF(AND(YEAR(JulDom1+6)=AñoCalendario,MONTH(JulDom1+6)=7),JulDom1+6,""))</f>
        <v>44016</v>
      </c>
      <c r="I32" s="16">
        <f>IF(DAY(JulDom1)=1,IF(AND(YEAR(JulDom1)=AñoCalendario,MONTH(JulDom1)=7),JulDom1,""),IF(AND(YEAR(JulDom1+7)=AñoCalendario,MONTH(JulDom1+7)=7),JulDom1+7,""))</f>
        <v>44017</v>
      </c>
      <c r="J32" s="8"/>
      <c r="K32" s="12" t="str">
        <f>IF(DAY(AgoDom1)=1,"",IF(AND(YEAR(AgoDom1+1)=AñoCalendario,MONTH(AgoDom1+1)=8),AgoDom1+1,""))</f>
        <v/>
      </c>
      <c r="L32" s="11" t="str">
        <f>IF(DAY(AgoDom1)=1,"",IF(AND(YEAR(AgoDom1+2)=AñoCalendario,MONTH(AgoDom1+2)=8),AgoDom1+2,""))</f>
        <v/>
      </c>
      <c r="M32" s="11" t="str">
        <f>IF(DAY(AgoDom1)=1,"",IF(AND(YEAR(AgoDom1+3)=AñoCalendario,MONTH(AgoDom1+3)=8),AgoDom1+3,""))</f>
        <v/>
      </c>
      <c r="N32" s="11" t="str">
        <f>IF(DAY(AgoDom1)=1,"",IF(AND(YEAR(AgoDom1+4)=AñoCalendario,MONTH(AgoDom1+4)=8),AgoDom1+4,""))</f>
        <v/>
      </c>
      <c r="O32" s="11" t="str">
        <f>IF(DAY(AgoDom1)=1,"",IF(AND(YEAR(AgoDom1+5)=AñoCalendario,MONTH(AgoDom1+5)=8),AgoDom1+5,""))</f>
        <v/>
      </c>
      <c r="P32" s="11">
        <f>IF(DAY(AgoDom1)=1,"",IF(AND(YEAR(AgoDom1+6)=AñoCalendario,MONTH(AgoDom1+6)=8),AgoDom1+6,""))</f>
        <v>44044</v>
      </c>
      <c r="Q32" s="15">
        <f>IF(DAY(AgoDom1)=1,IF(AND(YEAR(AgoDom1)=AñoCalendario,MONTH(AgoDom1)=8),AgoDom1,""),IF(AND(YEAR(AgoDom1+7)=AñoCalendario,MONTH(AgoDom1+7)=8),AgoDom1+7,""))</f>
        <v>44045</v>
      </c>
      <c r="S32" s="25"/>
      <c r="T32" s="92" t="s">
        <v>61</v>
      </c>
      <c r="U32" s="92"/>
      <c r="V32" s="92"/>
      <c r="W32" s="34"/>
    </row>
    <row r="33" spans="1:23" ht="15" customHeight="1" x14ac:dyDescent="0.3">
      <c r="A33" s="23"/>
      <c r="C33" s="42">
        <f>IF(DAY(JulDom1)=1,IF(AND(YEAR(JulDom1+1)=AñoCalendario,MONTH(JulDom1+1)=7),JulDom1+1,""),IF(AND(YEAR(JulDom1+8)=AñoCalendario,MONTH(JulDom1+8)=7),JulDom1+8,""))</f>
        <v>44018</v>
      </c>
      <c r="D33" s="42">
        <f>IF(DAY(JulDom1)=1,IF(AND(YEAR(JulDom1+2)=AñoCalendario,MONTH(JulDom1+2)=7),JulDom1+2,""),IF(AND(YEAR(JulDom1+9)=AñoCalendario,MONTH(JulDom1+9)=7),JulDom1+9,""))</f>
        <v>44019</v>
      </c>
      <c r="E33" s="42">
        <f>IF(DAY(JulDom1)=1,IF(AND(YEAR(JulDom1+3)=AñoCalendario,MONTH(JulDom1+3)=7),JulDom1+3,""),IF(AND(YEAR(JulDom1+10)=AñoCalendario,MONTH(JulDom1+10)=7),JulDom1+10,""))</f>
        <v>44020</v>
      </c>
      <c r="F33" s="42">
        <f>IF(DAY(JulDom1)=1,IF(AND(YEAR(JulDom1+4)=AñoCalendario,MONTH(JulDom1+4)=7),JulDom1+4,""),IF(AND(YEAR(JulDom1+11)=AñoCalendario,MONTH(JulDom1+11)=7),JulDom1+11,""))</f>
        <v>44021</v>
      </c>
      <c r="G33" s="42">
        <f>IF(DAY(JulDom1)=1,IF(AND(YEAR(JulDom1+5)=AñoCalendario,MONTH(JulDom1+5)=7),JulDom1+5,""),IF(AND(YEAR(JulDom1+12)=AñoCalendario,MONTH(JulDom1+12)=7),JulDom1+12,""))</f>
        <v>44022</v>
      </c>
      <c r="H33" s="11">
        <f>IF(DAY(JulDom1)=1,IF(AND(YEAR(JulDom1+6)=AñoCalendario,MONTH(JulDom1+6)=7),JulDom1+6,""),IF(AND(YEAR(JulDom1+13)=AñoCalendario,MONTH(JulDom1+13)=7),JulDom1+13,""))</f>
        <v>44023</v>
      </c>
      <c r="I33" s="16">
        <f>IF(DAY(JulDom1)=1,IF(AND(YEAR(JulDom1+7)=AñoCalendario,MONTH(JulDom1+7)=7),JulDom1+7,""),IF(AND(YEAR(JulDom1+14)=AñoCalendario,MONTH(JulDom1+14)=7),JulDom1+14,""))</f>
        <v>44024</v>
      </c>
      <c r="J33" s="8"/>
      <c r="K33" s="43">
        <f>IF(DAY(AgoDom1)=1,IF(AND(YEAR(AgoDom1+1)=AñoCalendario,MONTH(AgoDom1+1)=8),AgoDom1+1,""),IF(AND(YEAR(AgoDom1+8)=AñoCalendario,MONTH(AgoDom1+8)=8),AgoDom1+8,""))</f>
        <v>44046</v>
      </c>
      <c r="L33" s="42">
        <f>IF(DAY(AgoDom1)=1,IF(AND(YEAR(AgoDom1+2)=AñoCalendario,MONTH(AgoDom1+2)=8),AgoDom1+2,""),IF(AND(YEAR(AgoDom1+9)=AñoCalendario,MONTH(AgoDom1+9)=8),AgoDom1+9,""))</f>
        <v>44047</v>
      </c>
      <c r="M33" s="42">
        <f>IF(DAY(AgoDom1)=1,IF(AND(YEAR(AgoDom1+3)=AñoCalendario,MONTH(AgoDom1+3)=8),AgoDom1+3,""),IF(AND(YEAR(AgoDom1+10)=AñoCalendario,MONTH(AgoDom1+10)=8),AgoDom1+10,""))</f>
        <v>44048</v>
      </c>
      <c r="N33" s="42">
        <f>IF(DAY(AgoDom1)=1,IF(AND(YEAR(AgoDom1+4)=AñoCalendario,MONTH(AgoDom1+4)=8),AgoDom1+4,""),IF(AND(YEAR(AgoDom1+11)=AñoCalendario,MONTH(AgoDom1+11)=8),AgoDom1+11,""))</f>
        <v>44049</v>
      </c>
      <c r="O33" s="42">
        <f>IF(DAY(AgoDom1)=1,IF(AND(YEAR(AgoDom1+5)=AñoCalendario,MONTH(AgoDom1+5)=8),AgoDom1+5,""),IF(AND(YEAR(AgoDom1+12)=AñoCalendario,MONTH(AgoDom1+12)=8),AgoDom1+12,""))</f>
        <v>44050</v>
      </c>
      <c r="P33" s="11">
        <f>IF(DAY(AgoDom1)=1,IF(AND(YEAR(AgoDom1+6)=AñoCalendario,MONTH(AgoDom1+6)=8),AgoDom1+6,""),IF(AND(YEAR(AgoDom1+13)=AñoCalendario,MONTH(AgoDom1+13)=8),AgoDom1+13,""))</f>
        <v>44051</v>
      </c>
      <c r="Q33" s="15">
        <f>IF(DAY(AgoDom1)=1,IF(AND(YEAR(AgoDom1+7)=AñoCalendario,MONTH(AgoDom1+7)=8),AgoDom1+7,""),IF(AND(YEAR(AgoDom1+14)=AñoCalendario,MONTH(AgoDom1+14)=8),AgoDom1+14,""))</f>
        <v>44052</v>
      </c>
      <c r="S33" s="25"/>
      <c r="T33" s="64" t="s">
        <v>31</v>
      </c>
      <c r="U33" s="63" t="s">
        <v>64</v>
      </c>
      <c r="W33" s="34"/>
    </row>
    <row r="34" spans="1:23" ht="15" customHeight="1" x14ac:dyDescent="0.3">
      <c r="A34" s="24"/>
      <c r="C34" s="62">
        <f>IF(DAY(JulDom1)=1,IF(AND(YEAR(JulDom1+8)=AñoCalendario,MONTH(JulDom1+8)=7),JulDom1+8,""),IF(AND(YEAR(JulDom1+15)=AñoCalendario,MONTH(JulDom1+15)=7),JulDom1+15,""))</f>
        <v>44025</v>
      </c>
      <c r="D34" s="62">
        <f>IF(DAY(JulDom1)=1,IF(AND(YEAR(JulDom1+9)=AñoCalendario,MONTH(JulDom1+9)=7),JulDom1+9,""),IF(AND(YEAR(JulDom1+16)=AñoCalendario,MONTH(JulDom1+16)=7),JulDom1+16,""))</f>
        <v>44026</v>
      </c>
      <c r="E34" s="62">
        <f>IF(DAY(JulDom1)=1,IF(AND(YEAR(JulDom1+10)=AñoCalendario,MONTH(JulDom1+10)=7),JulDom1+10,""),IF(AND(YEAR(JulDom1+17)=AñoCalendario,MONTH(JulDom1+17)=7),JulDom1+17,""))</f>
        <v>44027</v>
      </c>
      <c r="F34" s="62">
        <f>IF(DAY(JulDom1)=1,IF(AND(YEAR(JulDom1+11)=AñoCalendario,MONTH(JulDom1+11)=7),JulDom1+11,""),IF(AND(YEAR(JulDom1+18)=AñoCalendario,MONTH(JulDom1+18)=7),JulDom1+18,""))</f>
        <v>44028</v>
      </c>
      <c r="G34" s="62">
        <f>IF(DAY(JulDom1)=1,IF(AND(YEAR(JulDom1+12)=AñoCalendario,MONTH(JulDom1+12)=7),JulDom1+12,""),IF(AND(YEAR(JulDom1+19)=AñoCalendario,MONTH(JulDom1+19)=7),JulDom1+19,""))</f>
        <v>44029</v>
      </c>
      <c r="H34" s="11">
        <f>IF(DAY(JulDom1)=1,IF(AND(YEAR(JulDom1+13)=AñoCalendario,MONTH(JulDom1+13)=7),JulDom1+13,""),IF(AND(YEAR(JulDom1+20)=AñoCalendario,MONTH(JulDom1+20)=7),JulDom1+20,""))</f>
        <v>44030</v>
      </c>
      <c r="I34" s="16">
        <f>IF(DAY(JulDom1)=1,IF(AND(YEAR(JulDom1+14)=AñoCalendario,MONTH(JulDom1+14)=7),JulDom1+14,""),IF(AND(YEAR(JulDom1+21)=AñoCalendario,MONTH(JulDom1+21)=7),JulDom1+21,""))</f>
        <v>44031</v>
      </c>
      <c r="J34" s="8"/>
      <c r="K34" s="43">
        <f>IF(DAY(AgoDom1)=1,IF(AND(YEAR(AgoDom1+8)=AñoCalendario,MONTH(AgoDom1+8)=8),AgoDom1+8,""),IF(AND(YEAR(AgoDom1+15)=AñoCalendario,MONTH(AgoDom1+15)=8),AgoDom1+15,""))</f>
        <v>44053</v>
      </c>
      <c r="L34" s="42">
        <f>IF(DAY(AgoDom1)=1,IF(AND(YEAR(AgoDom1+9)=AñoCalendario,MONTH(AgoDom1+9)=8),AgoDom1+9,""),IF(AND(YEAR(AgoDom1+16)=AñoCalendario,MONTH(AgoDom1+16)=8),AgoDom1+16,""))</f>
        <v>44054</v>
      </c>
      <c r="M34" s="42">
        <f>IF(DAY(AgoDom1)=1,IF(AND(YEAR(AgoDom1+10)=AñoCalendario,MONTH(AgoDom1+10)=8),AgoDom1+10,""),IF(AND(YEAR(AgoDom1+17)=AñoCalendario,MONTH(AgoDom1+17)=8),AgoDom1+17,""))</f>
        <v>44055</v>
      </c>
      <c r="N34" s="42">
        <f>IF(DAY(AgoDom1)=1,IF(AND(YEAR(AgoDom1+11)=AñoCalendario,MONTH(AgoDom1+11)=8),AgoDom1+11,""),IF(AND(YEAR(AgoDom1+18)=AñoCalendario,MONTH(AgoDom1+18)=8),AgoDom1+18,""))</f>
        <v>44056</v>
      </c>
      <c r="O34" s="42">
        <f>IF(DAY(AgoDom1)=1,IF(AND(YEAR(AgoDom1+12)=AñoCalendario,MONTH(AgoDom1+12)=8),AgoDom1+12,""),IF(AND(YEAR(AgoDom1+19)=AñoCalendario,MONTH(AgoDom1+19)=8),AgoDom1+19,""))</f>
        <v>44057</v>
      </c>
      <c r="P34" s="11">
        <f>IF(DAY(AgoDom1)=1,IF(AND(YEAR(AgoDom1+13)=AñoCalendario,MONTH(AgoDom1+13)=8),AgoDom1+13,""),IF(AND(YEAR(AgoDom1+20)=AñoCalendario,MONTH(AgoDom1+20)=8),AgoDom1+20,""))</f>
        <v>44058</v>
      </c>
      <c r="Q34" s="15">
        <f>IF(DAY(AgoDom1)=1,IF(AND(YEAR(AgoDom1+14)=AñoCalendario,MONTH(AgoDom1+14)=8),AgoDom1+14,""),IF(AND(YEAR(AgoDom1+21)=AñoCalendario,MONTH(AgoDom1+21)=8),AgoDom1+21,""))</f>
        <v>44059</v>
      </c>
      <c r="S34" s="25"/>
      <c r="T34" s="64" t="s">
        <v>32</v>
      </c>
      <c r="U34" s="57" t="s">
        <v>65</v>
      </c>
      <c r="V34" s="28"/>
      <c r="W34" s="34"/>
    </row>
    <row r="35" spans="1:23" ht="15" customHeight="1" x14ac:dyDescent="0.3">
      <c r="A35" s="24"/>
      <c r="C35" s="42">
        <f>IF(DAY(JulDom1)=1,IF(AND(YEAR(JulDom1+15)=AñoCalendario,MONTH(JulDom1+15)=7),JulDom1+15,""),IF(AND(YEAR(JulDom1+22)=AñoCalendario,MONTH(JulDom1+22)=7),JulDom1+22,""))</f>
        <v>44032</v>
      </c>
      <c r="D35" s="42">
        <f>IF(DAY(JulDom1)=1,IF(AND(YEAR(JulDom1+16)=AñoCalendario,MONTH(JulDom1+16)=7),JulDom1+16,""),IF(AND(YEAR(JulDom1+23)=AñoCalendario,MONTH(JulDom1+23)=7),JulDom1+23,""))</f>
        <v>44033</v>
      </c>
      <c r="E35" s="42">
        <f>IF(DAY(JulDom1)=1,IF(AND(YEAR(JulDom1+17)=AñoCalendario,MONTH(JulDom1+17)=7),JulDom1+17,""),IF(AND(YEAR(JulDom1+24)=AñoCalendario,MONTH(JulDom1+24)=7),JulDom1+24,""))</f>
        <v>44034</v>
      </c>
      <c r="F35" s="42">
        <f>IF(DAY(JulDom1)=1,IF(AND(YEAR(JulDom1+18)=AñoCalendario,MONTH(JulDom1+18)=7),JulDom1+18,""),IF(AND(YEAR(JulDom1+25)=AñoCalendario,MONTH(JulDom1+25)=7),JulDom1+25,""))</f>
        <v>44035</v>
      </c>
      <c r="G35" s="42">
        <f>IF(DAY(JulDom1)=1,IF(AND(YEAR(JulDom1+19)=AñoCalendario,MONTH(JulDom1+19)=7),JulDom1+19,""),IF(AND(YEAR(JulDom1+26)=AñoCalendario,MONTH(JulDom1+26)=7),JulDom1+26,""))</f>
        <v>44036</v>
      </c>
      <c r="H35" s="11">
        <f>IF(DAY(JulDom1)=1,IF(AND(YEAR(JulDom1+20)=AñoCalendario,MONTH(JulDom1+20)=7),JulDom1+20,""),IF(AND(YEAR(JulDom1+27)=AñoCalendario,MONTH(JulDom1+27)=7),JulDom1+27,""))</f>
        <v>44037</v>
      </c>
      <c r="I35" s="16">
        <f>IF(DAY(JulDom1)=1,IF(AND(YEAR(JulDom1+21)=AñoCalendario,MONTH(JulDom1+21)=7),JulDom1+21,""),IF(AND(YEAR(JulDom1+28)=AñoCalendario,MONTH(JulDom1+28)=7),JulDom1+28,""))</f>
        <v>44038</v>
      </c>
      <c r="J35" s="8"/>
      <c r="K35" s="43">
        <f>IF(DAY(AgoDom1)=1,IF(AND(YEAR(AgoDom1+15)=AñoCalendario,MONTH(AgoDom1+15)=8),AgoDom1+15,""),IF(AND(YEAR(AgoDom1+22)=AñoCalendario,MONTH(AgoDom1+22)=8),AgoDom1+22,""))</f>
        <v>44060</v>
      </c>
      <c r="L35" s="42">
        <f>IF(DAY(AgoDom1)=1,IF(AND(YEAR(AgoDom1+16)=AñoCalendario,MONTH(AgoDom1+16)=8),AgoDom1+16,""),IF(AND(YEAR(AgoDom1+23)=AñoCalendario,MONTH(AgoDom1+23)=8),AgoDom1+23,""))</f>
        <v>44061</v>
      </c>
      <c r="M35" s="42">
        <f>IF(DAY(AgoDom1)=1,IF(AND(YEAR(AgoDom1+17)=AñoCalendario,MONTH(AgoDom1+17)=8),AgoDom1+17,""),IF(AND(YEAR(AgoDom1+24)=AñoCalendario,MONTH(AgoDom1+24)=8),AgoDom1+24,""))</f>
        <v>44062</v>
      </c>
      <c r="N35" s="42">
        <f>IF(DAY(AgoDom1)=1,IF(AND(YEAR(AgoDom1+18)=AñoCalendario,MONTH(AgoDom1+18)=8),AgoDom1+18,""),IF(AND(YEAR(AgoDom1+25)=AñoCalendario,MONTH(AgoDom1+25)=8),AgoDom1+25,""))</f>
        <v>44063</v>
      </c>
      <c r="O35" s="42">
        <f>IF(DAY(AgoDom1)=1,IF(AND(YEAR(AgoDom1+19)=AñoCalendario,MONTH(AgoDom1+19)=8),AgoDom1+19,""),IF(AND(YEAR(AgoDom1+26)=AñoCalendario,MONTH(AgoDom1+26)=8),AgoDom1+26,""))</f>
        <v>44064</v>
      </c>
      <c r="P35" s="11">
        <f>IF(DAY(AgoDom1)=1,IF(AND(YEAR(AgoDom1+20)=AñoCalendario,MONTH(AgoDom1+20)=8),AgoDom1+20,""),IF(AND(YEAR(AgoDom1+27)=AñoCalendario,MONTH(AgoDom1+27)=8),AgoDom1+27,""))</f>
        <v>44065</v>
      </c>
      <c r="Q35" s="15">
        <f>IF(DAY(AgoDom1)=1,IF(AND(YEAR(AgoDom1+21)=AñoCalendario,MONTH(AgoDom1+21)=8),AgoDom1+21,""),IF(AND(YEAR(AgoDom1+28)=AñoCalendario,MONTH(AgoDom1+28)=8),AgoDom1+28,""))</f>
        <v>44066</v>
      </c>
      <c r="S35" s="25"/>
      <c r="T35" s="64" t="s">
        <v>33</v>
      </c>
      <c r="U35" s="63" t="s">
        <v>66</v>
      </c>
      <c r="V35" s="28"/>
      <c r="W35" s="34"/>
    </row>
    <row r="36" spans="1:23" ht="15" customHeight="1" x14ac:dyDescent="0.3">
      <c r="A36" s="24"/>
      <c r="C36" s="42">
        <f>IF(DAY(JulDom1)=1,IF(AND(YEAR(JulDom1+22)=AñoCalendario,MONTH(JulDom1+22)=7),JulDom1+22,""),IF(AND(YEAR(JulDom1+29)=AñoCalendario,MONTH(JulDom1+29)=7),JulDom1+29,""))</f>
        <v>44039</v>
      </c>
      <c r="D36" s="42">
        <f>IF(DAY(JulDom1)=1,IF(AND(YEAR(JulDom1+23)=AñoCalendario,MONTH(JulDom1+23)=7),JulDom1+23,""),IF(AND(YEAR(JulDom1+30)=AñoCalendario,MONTH(JulDom1+30)=7),JulDom1+30,""))</f>
        <v>44040</v>
      </c>
      <c r="E36" s="42">
        <f>IF(DAY(JulDom1)=1,IF(AND(YEAR(JulDom1+24)=AñoCalendario,MONTH(JulDom1+24)=7),JulDom1+24,""),IF(AND(YEAR(JulDom1+31)=AñoCalendario,MONTH(JulDom1+31)=7),JulDom1+31,""))</f>
        <v>44041</v>
      </c>
      <c r="F36" s="42">
        <f>IF(DAY(JulDom1)=1,IF(AND(YEAR(JulDom1+25)=AñoCalendario,MONTH(JulDom1+25)=7),JulDom1+25,""),IF(AND(YEAR(JulDom1+32)=AñoCalendario,MONTH(JulDom1+32)=7),JulDom1+32,""))</f>
        <v>44042</v>
      </c>
      <c r="G36" s="42">
        <f>IF(DAY(JulDom1)=1,IF(AND(YEAR(JulDom1+26)=AñoCalendario,MONTH(JulDom1+26)=7),JulDom1+26,""),IF(AND(YEAR(JulDom1+33)=AñoCalendario,MONTH(JulDom1+33)=7),JulDom1+33,""))</f>
        <v>44043</v>
      </c>
      <c r="H36" s="11" t="str">
        <f>IF(DAY(JulDom1)=1,IF(AND(YEAR(JulDom1+27)=AñoCalendario,MONTH(JulDom1+27)=7),JulDom1+27,""),IF(AND(YEAR(JulDom1+34)=AñoCalendario,MONTH(JulDom1+34)=7),JulDom1+34,""))</f>
        <v/>
      </c>
      <c r="I36" s="11" t="str">
        <f>IF(DAY(JulDom1)=1,IF(AND(YEAR(JulDom1+28)=AñoCalendario,MONTH(JulDom1+28)=7),JulDom1+28,""),IF(AND(YEAR(JulDom1+35)=AñoCalendario,MONTH(JulDom1+35)=7),JulDom1+35,""))</f>
        <v/>
      </c>
      <c r="J36" s="8"/>
      <c r="K36" s="43">
        <f>IF(DAY(AgoDom1)=1,IF(AND(YEAR(AgoDom1+22)=AñoCalendario,MONTH(AgoDom1+22)=8),AgoDom1+22,""),IF(AND(YEAR(AgoDom1+29)=AñoCalendario,MONTH(AgoDom1+29)=8),AgoDom1+29,""))</f>
        <v>44067</v>
      </c>
      <c r="L36" s="42">
        <f>IF(DAY(AgoDom1)=1,IF(AND(YEAR(AgoDom1+23)=AñoCalendario,MONTH(AgoDom1+23)=8),AgoDom1+23,""),IF(AND(YEAR(AgoDom1+30)=AñoCalendario,MONTH(AgoDom1+30)=8),AgoDom1+30,""))</f>
        <v>44068</v>
      </c>
      <c r="M36" s="42">
        <f>IF(DAY(AgoDom1)=1,IF(AND(YEAR(AgoDom1+24)=AñoCalendario,MONTH(AgoDom1+24)=8),AgoDom1+24,""),IF(AND(YEAR(AgoDom1+31)=AñoCalendario,MONTH(AgoDom1+31)=8),AgoDom1+31,""))</f>
        <v>44069</v>
      </c>
      <c r="N36" s="42">
        <f>IF(DAY(AgoDom1)=1,IF(AND(YEAR(AgoDom1+25)=AñoCalendario,MONTH(AgoDom1+25)=8),AgoDom1+25,""),IF(AND(YEAR(AgoDom1+32)=AñoCalendario,MONTH(AgoDom1+32)=8),AgoDom1+32,""))</f>
        <v>44070</v>
      </c>
      <c r="O36" s="42">
        <f>IF(DAY(AgoDom1)=1,IF(AND(YEAR(AgoDom1+26)=AñoCalendario,MONTH(AgoDom1+26)=8),AgoDom1+26,""),IF(AND(YEAR(AgoDom1+33)=AñoCalendario,MONTH(AgoDom1+33)=8),AgoDom1+33,""))</f>
        <v>44071</v>
      </c>
      <c r="P36" s="11">
        <f>IF(DAY(AgoDom1)=1,IF(AND(YEAR(AgoDom1+27)=AñoCalendario,MONTH(AgoDom1+27)=8),AgoDom1+27,""),IF(AND(YEAR(AgoDom1+34)=AñoCalendario,MONTH(AgoDom1+34)=8),AgoDom1+34,""))</f>
        <v>44072</v>
      </c>
      <c r="Q36" s="15">
        <f>IF(DAY(AgoDom1)=1,IF(AND(YEAR(AgoDom1+28)=AñoCalendario,MONTH(AgoDom1+28)=8),AgoDom1+28,""),IF(AND(YEAR(AgoDom1+35)=AñoCalendario,MONTH(AgoDom1+35)=8),AgoDom1+35,""))</f>
        <v>44073</v>
      </c>
      <c r="S36" s="25"/>
      <c r="T36" s="64" t="s">
        <v>34</v>
      </c>
      <c r="U36" s="29" t="s">
        <v>67</v>
      </c>
      <c r="V36" s="28"/>
      <c r="W36" s="34"/>
    </row>
    <row r="37" spans="1:23" ht="15" customHeight="1" x14ac:dyDescent="0.3">
      <c r="A37" s="24"/>
      <c r="C37" s="10" t="str">
        <f>IF(DAY(JulDom1)=1,IF(AND(YEAR(JulDom1+29)=AñoCalendario,MONTH(JulDom1+29)=7),JulDom1+29,""),IF(AND(YEAR(JulDom1+36)=AñoCalendario,MONTH(JulDom1+36)=7),JulDom1+36,""))</f>
        <v/>
      </c>
      <c r="D37" s="10" t="str">
        <f>IF(DAY(JulDom1)=1,IF(AND(YEAR(JulDom1+30)=AñoCalendario,MONTH(JulDom1+30)=7),JulDom1+30,""),IF(AND(YEAR(JulDom1+37)=AñoCalendario,MONTH(JulDom1+37)=7),JulDom1+37,""))</f>
        <v/>
      </c>
      <c r="E37" s="10" t="str">
        <f>IF(DAY(JulDom1)=1,IF(AND(YEAR(JulDom1+31)=AñoCalendario,MONTH(JulDom1+31)=7),JulDom1+31,""),IF(AND(YEAR(JulDom1+38)=AñoCalendario,MONTH(JulDom1+38)=7),JulDom1+38,""))</f>
        <v/>
      </c>
      <c r="F37" s="10" t="str">
        <f>IF(DAY(JulDom1)=1,IF(AND(YEAR(JulDom1+32)=AñoCalendario,MONTH(JulDom1+32)=7),JulDom1+32,""),IF(AND(YEAR(JulDom1+39)=AñoCalendario,MONTH(JulDom1+39)=7),JulDom1+39,""))</f>
        <v/>
      </c>
      <c r="G37" s="10" t="str">
        <f>IF(DAY(JulDom1)=1,IF(AND(YEAR(JulDom1+33)=AñoCalendario,MONTH(JulDom1+33)=7),JulDom1+33,""),IF(AND(YEAR(JulDom1+40)=AñoCalendario,MONTH(JulDom1+40)=7),JulDom1+40,""))</f>
        <v/>
      </c>
      <c r="H37" s="10" t="str">
        <f>IF(DAY(JulDom1)=1,IF(AND(YEAR(JulDom1+34)=AñoCalendario,MONTH(JulDom1+34)=7),JulDom1+34,""),IF(AND(YEAR(JulDom1+41)=AñoCalendario,MONTH(JulDom1+41)=7),JulDom1+41,""))</f>
        <v/>
      </c>
      <c r="I37" s="10" t="str">
        <f>IF(DAY(JulDom1)=1,IF(AND(YEAR(JulDom1+35)=AñoCalendario,MONTH(JulDom1+35)=7),JulDom1+35,""),IF(AND(YEAR(JulDom1+42)=AñoCalendario,MONTH(JulDom1+42)=7),JulDom1+42,""))</f>
        <v/>
      </c>
      <c r="J37" s="8"/>
      <c r="K37" s="44">
        <f>IF(DAY(AgoDom1)=1,IF(AND(YEAR(AgoDom1+29)=AñoCalendario,MONTH(AgoDom1+29)=8),AgoDom1+29,""),IF(AND(YEAR(AgoDom1+36)=AñoCalendario,MONTH(AgoDom1+36)=8),AgoDom1+36,""))</f>
        <v>44074</v>
      </c>
      <c r="L37" s="13" t="str">
        <f>IF(DAY(AgoDom1)=1,IF(AND(YEAR(AgoDom1+30)=AñoCalendario,MONTH(AgoDom1+30)=8),AgoDom1+30,""),IF(AND(YEAR(AgoDom1+37)=AñoCalendario,MONTH(AgoDom1+37)=8),AgoDom1+37,""))</f>
        <v/>
      </c>
      <c r="M37" s="13" t="str">
        <f>IF(DAY(AgoDom1)=1,IF(AND(YEAR(AgoDom1+31)=AñoCalendario,MONTH(AgoDom1+31)=8),AgoDom1+31,""),IF(AND(YEAR(AgoDom1+38)=AñoCalendario,MONTH(AgoDom1+38)=8),AgoDom1+38,""))</f>
        <v/>
      </c>
      <c r="N37" s="13" t="str">
        <f>IF(DAY(AgoDom1)=1,IF(AND(YEAR(AgoDom1+32)=AñoCalendario,MONTH(AgoDom1+32)=8),AgoDom1+32,""),IF(AND(YEAR(AgoDom1+39)=AñoCalendario,MONTH(AgoDom1+39)=8),AgoDom1+39,""))</f>
        <v/>
      </c>
      <c r="O37" s="13" t="str">
        <f>IF(DAY(AgoDom1)=1,IF(AND(YEAR(AgoDom1+33)=AñoCalendario,MONTH(AgoDom1+33)=8),AgoDom1+33,""),IF(AND(YEAR(AgoDom1+40)=AñoCalendario,MONTH(AgoDom1+40)=8),AgoDom1+40,""))</f>
        <v/>
      </c>
      <c r="P37" s="13" t="str">
        <f>IF(DAY(AgoDom1)=1,IF(AND(YEAR(AgoDom1+34)=AñoCalendario,MONTH(AgoDom1+34)=8),AgoDom1+34,""),IF(AND(YEAR(AgoDom1+41)=AñoCalendario,MONTH(AgoDom1+41)=8),AgoDom1+41,""))</f>
        <v/>
      </c>
      <c r="Q37" s="14" t="str">
        <f>IF(DAY(AgoDom1)=1,IF(AND(YEAR(AgoDom1+35)=AñoCalendario,MONTH(AgoDom1+35)=8),AgoDom1+35,""),IF(AND(YEAR(AgoDom1+42)=AñoCalendario,MONTH(AgoDom1+42)=8),AgoDom1+42,""))</f>
        <v/>
      </c>
      <c r="S37" s="25"/>
      <c r="T37" s="64" t="s">
        <v>60</v>
      </c>
      <c r="U37" s="63" t="s">
        <v>68</v>
      </c>
      <c r="W37" s="34"/>
    </row>
    <row r="38" spans="1:23" ht="15" customHeight="1" x14ac:dyDescent="0.25">
      <c r="A38" s="24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S38" s="25"/>
      <c r="T38" s="90" t="s">
        <v>50</v>
      </c>
      <c r="U38" s="90"/>
      <c r="V38" s="90"/>
      <c r="W38" s="34"/>
    </row>
    <row r="39" spans="1:23" ht="15" customHeight="1" x14ac:dyDescent="0.3">
      <c r="A39" s="23"/>
      <c r="C39" s="66" t="s">
        <v>5</v>
      </c>
      <c r="D39" s="66"/>
      <c r="E39" s="66"/>
      <c r="F39" s="66"/>
      <c r="G39" s="66"/>
      <c r="H39" s="66"/>
      <c r="I39" s="66"/>
      <c r="J39" s="8"/>
      <c r="K39" s="66" t="s">
        <v>17</v>
      </c>
      <c r="L39" s="66"/>
      <c r="M39" s="66"/>
      <c r="N39" s="66"/>
      <c r="O39" s="66"/>
      <c r="P39" s="66"/>
      <c r="Q39" s="66"/>
      <c r="S39" s="25"/>
      <c r="T39" s="95" t="s">
        <v>51</v>
      </c>
      <c r="U39" s="95"/>
      <c r="V39" s="95"/>
      <c r="W39" s="34"/>
    </row>
    <row r="40" spans="1:23" ht="15" customHeight="1" x14ac:dyDescent="0.3">
      <c r="A40" s="23"/>
      <c r="C40" s="18" t="s">
        <v>1</v>
      </c>
      <c r="D40" s="18" t="s">
        <v>7</v>
      </c>
      <c r="E40" s="18" t="s">
        <v>8</v>
      </c>
      <c r="F40" s="18" t="s">
        <v>9</v>
      </c>
      <c r="G40" s="18" t="s">
        <v>10</v>
      </c>
      <c r="H40" s="18" t="s">
        <v>11</v>
      </c>
      <c r="I40" s="19" t="s">
        <v>12</v>
      </c>
      <c r="J40" s="8"/>
      <c r="K40" s="18" t="s">
        <v>1</v>
      </c>
      <c r="L40" s="18" t="s">
        <v>7</v>
      </c>
      <c r="M40" s="18" t="s">
        <v>8</v>
      </c>
      <c r="N40" s="18" t="s">
        <v>9</v>
      </c>
      <c r="O40" s="18" t="s">
        <v>10</v>
      </c>
      <c r="P40" s="18" t="s">
        <v>11</v>
      </c>
      <c r="Q40" s="19" t="s">
        <v>12</v>
      </c>
      <c r="S40" s="25"/>
      <c r="T40" s="96" t="s">
        <v>52</v>
      </c>
      <c r="U40" s="96"/>
      <c r="V40" s="96"/>
      <c r="W40" s="34"/>
    </row>
    <row r="41" spans="1:23" ht="15" customHeight="1" x14ac:dyDescent="0.35">
      <c r="A41" s="24"/>
      <c r="C41" s="11" t="str">
        <f>IF(DAY(SepDom1)=1,"",IF(AND(YEAR(SepDom1+1)=AñoCalendario,MONTH(SepDom1+1)=9),SepDom1+1,""))</f>
        <v/>
      </c>
      <c r="D41" s="42">
        <f>IF(DAY(SepDom1)=1,"",IF(AND(YEAR(SepDom1+2)=AñoCalendario,MONTH(SepDom1+2)=9),SepDom1+2,""))</f>
        <v>44075</v>
      </c>
      <c r="E41" s="42">
        <f>IF(DAY(SepDom1)=1,"",IF(AND(YEAR(SepDom1+3)=AñoCalendario,MONTH(SepDom1+3)=9),SepDom1+3,""))</f>
        <v>44076</v>
      </c>
      <c r="F41" s="42">
        <f>IF(DAY(SepDom1)=1,"",IF(AND(YEAR(SepDom1+4)=AñoCalendario,MONTH(SepDom1+4)=9),SepDom1+4,""))</f>
        <v>44077</v>
      </c>
      <c r="G41" s="45">
        <f>IF(DAY(SepDom1)=1,"",IF(AND(YEAR(SepDom1+5)=AñoCalendario,MONTH(SepDom1+5)=9),SepDom1+5,""))</f>
        <v>44078</v>
      </c>
      <c r="H41" s="11">
        <f>IF(DAY(SepDom1)=1,"",IF(AND(YEAR(SepDom1+6)=AñoCalendario,MONTH(SepDom1+6)=9),SepDom1+6,""))</f>
        <v>44079</v>
      </c>
      <c r="I41" s="16">
        <f>IF(DAY(SepDom1)=1,IF(AND(YEAR(SepDom1)=AñoCalendario,MONTH(SepDom1)=9),SepDom1,""),IF(AND(YEAR(SepDom1+7)=AñoCalendario,MONTH(SepDom1+7)=9),SepDom1+7,""))</f>
        <v>44080</v>
      </c>
      <c r="J41" s="8"/>
      <c r="K41" s="11" t="str">
        <f>IF(DAY(OctDom1)=1,"",IF(AND(YEAR(OctDom1+1)=AñoCalendario,MONTH(OctDom1+1)=10),OctDom1+1,""))</f>
        <v/>
      </c>
      <c r="L41" s="11" t="str">
        <f>IF(DAY(OctDom1)=1,"",IF(AND(YEAR(OctDom1+2)=AñoCalendario,MONTH(OctDom1+2)=10),OctDom1+2,""))</f>
        <v/>
      </c>
      <c r="M41" s="11" t="str">
        <f>IF(DAY(OctDom1)=1,"",IF(AND(YEAR(OctDom1+3)=AñoCalendario,MONTH(OctDom1+3)=10),OctDom1+3,""))</f>
        <v/>
      </c>
      <c r="N41" s="45">
        <f>IF(DAY(OctDom1)=1,"",IF(AND(YEAR(OctDom1+4)=AñoCalendario,MONTH(OctDom1+4)=10),OctDom1+4,""))</f>
        <v>44105</v>
      </c>
      <c r="O41" s="45">
        <f>IF(DAY(OctDom1)=1,"",IF(AND(YEAR(OctDom1+5)=AñoCalendario,MONTH(OctDom1+5)=10),OctDom1+5,""))</f>
        <v>44106</v>
      </c>
      <c r="P41" s="11">
        <f>IF(DAY(OctDom1)=1,"",IF(AND(YEAR(OctDom1+6)=AñoCalendario,MONTH(OctDom1+6)=10),OctDom1+6,""))</f>
        <v>44107</v>
      </c>
      <c r="Q41" s="16">
        <f>IF(DAY(OctDom1)=1,IF(AND(YEAR(OctDom1)=AñoCalendario,MONTH(OctDom1)=10),OctDom1,""),IF(AND(YEAR(OctDom1+7)=AñoCalendario,MONTH(OctDom1+7)=10),OctDom1+7,""))</f>
        <v>44108</v>
      </c>
      <c r="S41" s="25"/>
      <c r="T41" s="87" t="s">
        <v>56</v>
      </c>
      <c r="U41" s="88"/>
      <c r="V41" s="89"/>
      <c r="W41" s="34"/>
    </row>
    <row r="42" spans="1:23" ht="15" customHeight="1" x14ac:dyDescent="0.3">
      <c r="A42" s="24"/>
      <c r="C42" s="45">
        <f>IF(DAY(SepDom1)=1,IF(AND(YEAR(SepDom1+1)=AñoCalendario,MONTH(SepDom1+1)=9),SepDom1+1,""),IF(AND(YEAR(SepDom1+8)=AñoCalendario,MONTH(SepDom1+8)=9),SepDom1+8,""))</f>
        <v>44081</v>
      </c>
      <c r="D42" s="45">
        <f>IF(DAY(SepDom1)=1,IF(AND(YEAR(SepDom1+2)=AñoCalendario,MONTH(SepDom1+2)=9),SepDom1+2,""),IF(AND(YEAR(SepDom1+9)=AñoCalendario,MONTH(SepDom1+9)=9),SepDom1+9,""))</f>
        <v>44082</v>
      </c>
      <c r="E42" s="45">
        <f>IF(DAY(SepDom1)=1,IF(AND(YEAR(SepDom1+3)=AñoCalendario,MONTH(SepDom1+3)=9),SepDom1+3,""),IF(AND(YEAR(SepDom1+10)=AñoCalendario,MONTH(SepDom1+10)=9),SepDom1+10,""))</f>
        <v>44083</v>
      </c>
      <c r="F42" s="45">
        <f>IF(DAY(SepDom1)=1,IF(AND(YEAR(SepDom1+4)=AñoCalendario,MONTH(SepDom1+4)=9),SepDom1+4,""),IF(AND(YEAR(SepDom1+11)=AñoCalendario,MONTH(SepDom1+11)=9),SepDom1+11,""))</f>
        <v>44084</v>
      </c>
      <c r="G42" s="45">
        <f>IF(DAY(SepDom1)=1,IF(AND(YEAR(SepDom1+5)=AñoCalendario,MONTH(SepDom1+5)=9),SepDom1+5,""),IF(AND(YEAR(SepDom1+12)=AñoCalendario,MONTH(SepDom1+12)=9),SepDom1+12,""))</f>
        <v>44085</v>
      </c>
      <c r="H42" s="11">
        <f>IF(DAY(SepDom1)=1,IF(AND(YEAR(SepDom1+6)=AñoCalendario,MONTH(SepDom1+6)=9),SepDom1+6,""),IF(AND(YEAR(SepDom1+13)=AñoCalendario,MONTH(SepDom1+13)=9),SepDom1+13,""))</f>
        <v>44086</v>
      </c>
      <c r="I42" s="16">
        <f>IF(DAY(SepDom1)=1,IF(AND(YEAR(SepDom1+7)=AñoCalendario,MONTH(SepDom1+7)=9),SepDom1+7,""),IF(AND(YEAR(SepDom1+14)=AñoCalendario,MONTH(SepDom1+14)=9),SepDom1+14,""))</f>
        <v>44087</v>
      </c>
      <c r="J42" s="8"/>
      <c r="K42" s="17">
        <f>IF(DAY(OctDom1)=1,IF(AND(YEAR(OctDom1+1)=AñoCalendario,MONTH(OctDom1+1)=10),OctDom1+1,""),IF(AND(YEAR(OctDom1+8)=AñoCalendario,MONTH(OctDom1+8)=10),OctDom1+8,""))</f>
        <v>44109</v>
      </c>
      <c r="L42" s="17">
        <f>IF(DAY(OctDom1)=1,IF(AND(YEAR(OctDom1+2)=AñoCalendario,MONTH(OctDom1+2)=10),OctDom1+2,""),IF(AND(YEAR(OctDom1+9)=AñoCalendario,MONTH(OctDom1+9)=10),OctDom1+9,""))</f>
        <v>44110</v>
      </c>
      <c r="M42" s="17">
        <f>IF(DAY(OctDom1)=1,IF(AND(YEAR(OctDom1+3)=AñoCalendario,MONTH(OctDom1+3)=10),OctDom1+3,""),IF(AND(YEAR(OctDom1+10)=AñoCalendario,MONTH(OctDom1+10)=10),OctDom1+10,""))</f>
        <v>44111</v>
      </c>
      <c r="N42" s="17">
        <f>IF(DAY(OctDom1)=1,IF(AND(YEAR(OctDom1+4)=AñoCalendario,MONTH(OctDom1+4)=10),OctDom1+4,""),IF(AND(YEAR(OctDom1+11)=AñoCalendario,MONTH(OctDom1+11)=10),OctDom1+11,""))</f>
        <v>44112</v>
      </c>
      <c r="O42" s="17">
        <f>IF(DAY(OctDom1)=1,IF(AND(YEAR(OctDom1+5)=AñoCalendario,MONTH(OctDom1+5)=10),OctDom1+5,""),IF(AND(YEAR(OctDom1+12)=AñoCalendario,MONTH(OctDom1+12)=10),OctDom1+12,""))</f>
        <v>44113</v>
      </c>
      <c r="P42" s="11">
        <f>IF(DAY(OctDom1)=1,IF(AND(YEAR(OctDom1+6)=AñoCalendario,MONTH(OctDom1+6)=10),OctDom1+6,""),IF(AND(YEAR(OctDom1+13)=AñoCalendario,MONTH(OctDom1+13)=10),OctDom1+13,""))</f>
        <v>44114</v>
      </c>
      <c r="Q42" s="16">
        <f>IF(DAY(OctDom1)=1,IF(AND(YEAR(OctDom1+7)=AñoCalendario,MONTH(OctDom1+7)=10),OctDom1+7,""),IF(AND(YEAR(OctDom1+14)=AñoCalendario,MONTH(OctDom1+14)=10),OctDom1+14,""))</f>
        <v>44115</v>
      </c>
      <c r="S42" s="25"/>
      <c r="T42" s="30" t="s">
        <v>31</v>
      </c>
      <c r="U42" s="58" t="s">
        <v>57</v>
      </c>
      <c r="V42" s="28"/>
      <c r="W42" s="34"/>
    </row>
    <row r="43" spans="1:23" ht="15" customHeight="1" x14ac:dyDescent="0.3">
      <c r="A43" s="24"/>
      <c r="C43" s="45">
        <f>IF(DAY(SepDom1)=1,IF(AND(YEAR(SepDom1+8)=AñoCalendario,MONTH(SepDom1+8)=9),SepDom1+8,""),IF(AND(YEAR(SepDom1+15)=AñoCalendario,MONTH(SepDom1+15)=9),SepDom1+15,""))</f>
        <v>44088</v>
      </c>
      <c r="D43" s="45">
        <f>IF(DAY(SepDom1)=1,IF(AND(YEAR(SepDom1+9)=AñoCalendario,MONTH(SepDom1+9)=9),SepDom1+9,""),IF(AND(YEAR(SepDom1+16)=AñoCalendario,MONTH(SepDom1+16)=9),SepDom1+16,""))</f>
        <v>44089</v>
      </c>
      <c r="E43" s="45">
        <f>IF(DAY(SepDom1)=1,IF(AND(YEAR(SepDom1+10)=AñoCalendario,MONTH(SepDom1+10)=9),SepDom1+10,""),IF(AND(YEAR(SepDom1+17)=AñoCalendario,MONTH(SepDom1+17)=9),SepDom1+17,""))</f>
        <v>44090</v>
      </c>
      <c r="F43" s="45">
        <f>IF(DAY(SepDom1)=1,IF(AND(YEAR(SepDom1+11)=AñoCalendario,MONTH(SepDom1+11)=9),SepDom1+11,""),IF(AND(YEAR(SepDom1+18)=AñoCalendario,MONTH(SepDom1+18)=9),SepDom1+18,""))</f>
        <v>44091</v>
      </c>
      <c r="G43" s="45">
        <f>IF(DAY(SepDom1)=1,IF(AND(YEAR(SepDom1+12)=AñoCalendario,MONTH(SepDom1+12)=9),SepDom1+12,""),IF(AND(YEAR(SepDom1+19)=AñoCalendario,MONTH(SepDom1+19)=9),SepDom1+19,""))</f>
        <v>44092</v>
      </c>
      <c r="H43" s="11">
        <f>IF(DAY(SepDom1)=1,IF(AND(YEAR(SepDom1+13)=AñoCalendario,MONTH(SepDom1+13)=9),SepDom1+13,""),IF(AND(YEAR(SepDom1+20)=AñoCalendario,MONTH(SepDom1+20)=9),SepDom1+20,""))</f>
        <v>44093</v>
      </c>
      <c r="I43" s="16">
        <f>IF(DAY(SepDom1)=1,IF(AND(YEAR(SepDom1+14)=AñoCalendario,MONTH(SepDom1+14)=9),SepDom1+14,""),IF(AND(YEAR(SepDom1+21)=AñoCalendario,MONTH(SepDom1+21)=9),SepDom1+21,""))</f>
        <v>44094</v>
      </c>
      <c r="J43" s="8"/>
      <c r="K43" s="54">
        <f>IF(DAY(OctDom1)=1,IF(AND(YEAR(OctDom1+8)=AñoCalendario,MONTH(OctDom1+8)=10),OctDom1+8,""),IF(AND(YEAR(OctDom1+15)=AñoCalendario,MONTH(OctDom1+15)=10),OctDom1+15,""))</f>
        <v>44116</v>
      </c>
      <c r="L43" s="45">
        <f>IF(DAY(OctDom1)=1,IF(AND(YEAR(OctDom1+9)=AñoCalendario,MONTH(OctDom1+9)=10),OctDom1+9,""),IF(AND(YEAR(OctDom1+16)=AñoCalendario,MONTH(OctDom1+16)=10),OctDom1+16,""))</f>
        <v>44117</v>
      </c>
      <c r="M43" s="45">
        <f>IF(DAY(OctDom1)=1,IF(AND(YEAR(OctDom1+10)=AñoCalendario,MONTH(OctDom1+10)=10),OctDom1+10,""),IF(AND(YEAR(OctDom1+17)=AñoCalendario,MONTH(OctDom1+17)=10),OctDom1+17,""))</f>
        <v>44118</v>
      </c>
      <c r="N43" s="45">
        <f>IF(DAY(OctDom1)=1,IF(AND(YEAR(OctDom1+11)=AñoCalendario,MONTH(OctDom1+11)=10),OctDom1+11,""),IF(AND(YEAR(OctDom1+18)=AñoCalendario,MONTH(OctDom1+18)=10),OctDom1+18,""))</f>
        <v>44119</v>
      </c>
      <c r="O43" s="45">
        <f>IF(DAY(OctDom1)=1,IF(AND(YEAR(OctDom1+12)=AñoCalendario,MONTH(OctDom1+12)=10),OctDom1+12,""),IF(AND(YEAR(OctDom1+19)=AñoCalendario,MONTH(OctDom1+19)=10),OctDom1+19,""))</f>
        <v>44120</v>
      </c>
      <c r="P43" s="11">
        <f>IF(DAY(OctDom1)=1,IF(AND(YEAR(OctDom1+13)=AñoCalendario,MONTH(OctDom1+13)=10),OctDom1+13,""),IF(AND(YEAR(OctDom1+20)=AñoCalendario,MONTH(OctDom1+20)=10),OctDom1+20,""))</f>
        <v>44121</v>
      </c>
      <c r="Q43" s="16">
        <f>IF(DAY(OctDom1)=1,IF(AND(YEAR(OctDom1+14)=AñoCalendario,MONTH(OctDom1+14)=10),OctDom1+14,""),IF(AND(YEAR(OctDom1+21)=AñoCalendario,MONTH(OctDom1+21)=10),OctDom1+21,""))</f>
        <v>44122</v>
      </c>
      <c r="S43" s="25"/>
      <c r="T43" s="30" t="s">
        <v>32</v>
      </c>
      <c r="U43" s="59" t="s">
        <v>58</v>
      </c>
      <c r="V43" s="28"/>
      <c r="W43" s="34"/>
    </row>
    <row r="44" spans="1:23" ht="15" customHeight="1" x14ac:dyDescent="0.3">
      <c r="A44" s="23"/>
      <c r="C44" s="62">
        <f>IF(DAY(SepDom1)=1,IF(AND(YEAR(SepDom1+15)=AñoCalendario,MONTH(SepDom1+15)=9),SepDom1+15,""),IF(AND(YEAR(SepDom1+22)=AñoCalendario,MONTH(SepDom1+22)=9),SepDom1+22,""))</f>
        <v>44095</v>
      </c>
      <c r="D44" s="62">
        <f>IF(DAY(SepDom1)=1,IF(AND(YEAR(SepDom1+16)=AñoCalendario,MONTH(SepDom1+16)=9),SepDom1+16,""),IF(AND(YEAR(SepDom1+23)=AñoCalendario,MONTH(SepDom1+23)=9),SepDom1+23,""))</f>
        <v>44096</v>
      </c>
      <c r="E44" s="62">
        <f>IF(DAY(SepDom1)=1,IF(AND(YEAR(SepDom1+17)=AñoCalendario,MONTH(SepDom1+17)=9),SepDom1+17,""),IF(AND(YEAR(SepDom1+24)=AñoCalendario,MONTH(SepDom1+24)=9),SepDom1+24,""))</f>
        <v>44097</v>
      </c>
      <c r="F44" s="62">
        <f>IF(DAY(SepDom1)=1,IF(AND(YEAR(SepDom1+18)=AñoCalendario,MONTH(SepDom1+18)=9),SepDom1+18,""),IF(AND(YEAR(SepDom1+25)=AñoCalendario,MONTH(SepDom1+25)=9),SepDom1+25,""))</f>
        <v>44098</v>
      </c>
      <c r="G44" s="62">
        <f>IF(DAY(SepDom1)=1,IF(AND(YEAR(SepDom1+19)=AñoCalendario,MONTH(SepDom1+19)=9),SepDom1+19,""),IF(AND(YEAR(SepDom1+26)=AñoCalendario,MONTH(SepDom1+26)=9),SepDom1+26,""))</f>
        <v>44099</v>
      </c>
      <c r="H44" s="11">
        <f>IF(DAY(SepDom1)=1,IF(AND(YEAR(SepDom1+20)=AñoCalendario,MONTH(SepDom1+20)=9),SepDom1+20,""),IF(AND(YEAR(SepDom1+27)=AñoCalendario,MONTH(SepDom1+27)=9),SepDom1+27,""))</f>
        <v>44100</v>
      </c>
      <c r="I44" s="16">
        <f>IF(DAY(SepDom1)=1,IF(AND(YEAR(SepDom1+21)=AñoCalendario,MONTH(SepDom1+21)=9),SepDom1+21,""),IF(AND(YEAR(SepDom1+28)=AñoCalendario,MONTH(SepDom1+28)=9),SepDom1+28,""))</f>
        <v>44101</v>
      </c>
      <c r="J44" s="8"/>
      <c r="K44" s="45">
        <f>IF(DAY(OctDom1)=1,IF(AND(YEAR(OctDom1+15)=AñoCalendario,MONTH(OctDom1+15)=10),OctDom1+15,""),IF(AND(YEAR(OctDom1+22)=AñoCalendario,MONTH(OctDom1+22)=10),OctDom1+22,""))</f>
        <v>44123</v>
      </c>
      <c r="L44" s="45">
        <f>IF(DAY(OctDom1)=1,IF(AND(YEAR(OctDom1+16)=AñoCalendario,MONTH(OctDom1+16)=10),OctDom1+16,""),IF(AND(YEAR(OctDom1+23)=AñoCalendario,MONTH(OctDom1+23)=10),OctDom1+23,""))</f>
        <v>44124</v>
      </c>
      <c r="M44" s="45">
        <f>IF(DAY(OctDom1)=1,IF(AND(YEAR(OctDom1+17)=AñoCalendario,MONTH(OctDom1+17)=10),OctDom1+17,""),IF(AND(YEAR(OctDom1+24)=AñoCalendario,MONTH(OctDom1+24)=10),OctDom1+24,""))</f>
        <v>44125</v>
      </c>
      <c r="N44" s="45">
        <f>IF(DAY(OctDom1)=1,IF(AND(YEAR(OctDom1+18)=AñoCalendario,MONTH(OctDom1+18)=10),OctDom1+18,""),IF(AND(YEAR(OctDom1+25)=AñoCalendario,MONTH(OctDom1+25)=10),OctDom1+25,""))</f>
        <v>44126</v>
      </c>
      <c r="O44" s="45">
        <f>IF(DAY(OctDom1)=1,IF(AND(YEAR(OctDom1+19)=AñoCalendario,MONTH(OctDom1+19)=10),OctDom1+19,""),IF(AND(YEAR(OctDom1+26)=AñoCalendario,MONTH(OctDom1+26)=10),OctDom1+26,""))</f>
        <v>44127</v>
      </c>
      <c r="P44" s="11">
        <f>IF(DAY(OctDom1)=1,IF(AND(YEAR(OctDom1+20)=AñoCalendario,MONTH(OctDom1+20)=10),OctDom1+20,""),IF(AND(YEAR(OctDom1+27)=AñoCalendario,MONTH(OctDom1+27)=10),OctDom1+27,""))</f>
        <v>44128</v>
      </c>
      <c r="Q44" s="16">
        <f>IF(DAY(OctDom1)=1,IF(AND(YEAR(OctDom1+21)=AñoCalendario,MONTH(OctDom1+21)=10),OctDom1+21,""),IF(AND(YEAR(OctDom1+28)=AñoCalendario,MONTH(OctDom1+28)=10),OctDom1+28,""))</f>
        <v>44129</v>
      </c>
      <c r="S44" s="25"/>
      <c r="T44" s="30" t="s">
        <v>33</v>
      </c>
      <c r="U44" s="60" t="s">
        <v>71</v>
      </c>
      <c r="V44" s="28"/>
      <c r="W44" s="34"/>
    </row>
    <row r="45" spans="1:23" ht="15" customHeight="1" x14ac:dyDescent="0.3">
      <c r="A45" s="23"/>
      <c r="C45" s="45">
        <f>IF(DAY(SepDom1)=1,IF(AND(YEAR(SepDom1+22)=AñoCalendario,MONTH(SepDom1+22)=9),SepDom1+22,""),IF(AND(YEAR(SepDom1+29)=AñoCalendario,MONTH(SepDom1+29)=9),SepDom1+29,""))</f>
        <v>44102</v>
      </c>
      <c r="D45" s="45">
        <f>IF(DAY(SepDom1)=1,IF(AND(YEAR(SepDom1+23)=AñoCalendario,MONTH(SepDom1+23)=9),SepDom1+23,""),IF(AND(YEAR(SepDom1+30)=AñoCalendario,MONTH(SepDom1+30)=9),SepDom1+30,""))</f>
        <v>44103</v>
      </c>
      <c r="E45" s="45">
        <f>IF(DAY(SepDom1)=1,IF(AND(YEAR(SepDom1+24)=AñoCalendario,MONTH(SepDom1+24)=9),SepDom1+24,""),IF(AND(YEAR(SepDom1+31)=AñoCalendario,MONTH(SepDom1+31)=9),SepDom1+31,""))</f>
        <v>44104</v>
      </c>
      <c r="F45" s="11" t="str">
        <f>IF(DAY(SepDom1)=1,IF(AND(YEAR(SepDom1+25)=AñoCalendario,MONTH(SepDom1+25)=9),SepDom1+25,""),IF(AND(YEAR(SepDom1+32)=AñoCalendario,MONTH(SepDom1+32)=9),SepDom1+32,""))</f>
        <v/>
      </c>
      <c r="G45" s="11" t="str">
        <f>IF(DAY(SepDom1)=1,IF(AND(YEAR(SepDom1+26)=AñoCalendario,MONTH(SepDom1+26)=9),SepDom1+26,""),IF(AND(YEAR(SepDom1+33)=AñoCalendario,MONTH(SepDom1+33)=9),SepDom1+33,""))</f>
        <v/>
      </c>
      <c r="H45" s="11" t="str">
        <f>IF(DAY(SepDom1)=1,IF(AND(YEAR(SepDom1+27)=AñoCalendario,MONTH(SepDom1+27)=9),SepDom1+27,""),IF(AND(YEAR(SepDom1+34)=AñoCalendario,MONTH(SepDom1+34)=9),SepDom1+34,""))</f>
        <v/>
      </c>
      <c r="I45" s="11" t="str">
        <f>IF(DAY(SepDom1)=1,IF(AND(YEAR(SepDom1+28)=AñoCalendario,MONTH(SepDom1+28)=9),SepDom1+28,""),IF(AND(YEAR(SepDom1+35)=AñoCalendario,MONTH(SepDom1+35)=9),SepDom1+35,""))</f>
        <v/>
      </c>
      <c r="J45" s="8"/>
      <c r="K45" s="45">
        <f>IF(DAY(OctDom1)=1,IF(AND(YEAR(OctDom1+22)=AñoCalendario,MONTH(OctDom1+22)=10),OctDom1+22,""),IF(AND(YEAR(OctDom1+29)=AñoCalendario,MONTH(OctDom1+29)=10),OctDom1+29,""))</f>
        <v>44130</v>
      </c>
      <c r="L45" s="45">
        <f>IF(DAY(OctDom1)=1,IF(AND(YEAR(OctDom1+23)=AñoCalendario,MONTH(OctDom1+23)=10),OctDom1+23,""),IF(AND(YEAR(OctDom1+30)=AñoCalendario,MONTH(OctDom1+30)=10),OctDom1+30,""))</f>
        <v>44131</v>
      </c>
      <c r="M45" s="45">
        <f>IF(DAY(OctDom1)=1,IF(AND(YEAR(OctDom1+24)=AñoCalendario,MONTH(OctDom1+24)=10),OctDom1+24,""),IF(AND(YEAR(OctDom1+31)=AñoCalendario,MONTH(OctDom1+31)=10),OctDom1+31,""))</f>
        <v>44132</v>
      </c>
      <c r="N45" s="45">
        <f>IF(DAY(OctDom1)=1,IF(AND(YEAR(OctDom1+25)=AñoCalendario,MONTH(OctDom1+25)=10),OctDom1+25,""),IF(AND(YEAR(OctDom1+32)=AñoCalendario,MONTH(OctDom1+32)=10),OctDom1+32,""))</f>
        <v>44133</v>
      </c>
      <c r="O45" s="45">
        <f>IF(DAY(OctDom1)=1,IF(AND(YEAR(OctDom1+26)=AñoCalendario,MONTH(OctDom1+26)=10),OctDom1+26,""),IF(AND(YEAR(OctDom1+33)=AñoCalendario,MONTH(OctDom1+33)=10),OctDom1+33,""))</f>
        <v>44134</v>
      </c>
      <c r="P45" s="11">
        <f>IF(DAY(OctDom1)=1,IF(AND(YEAR(OctDom1+27)=AñoCalendario,MONTH(OctDom1+27)=10),OctDom1+27,""),IF(AND(YEAR(OctDom1+34)=AñoCalendario,MONTH(OctDom1+34)=10),OctDom1+34,""))</f>
        <v>44135</v>
      </c>
      <c r="Q45" s="11" t="str">
        <f>IF(DAY(OctDom1)=1,IF(AND(YEAR(OctDom1+28)=AñoCalendario,MONTH(OctDom1+28)=10),OctDom1+28,""),IF(AND(YEAR(OctDom1+35)=AñoCalendario,MONTH(OctDom1+35)=10),OctDom1+35,""))</f>
        <v/>
      </c>
      <c r="S45" s="25"/>
      <c r="T45" s="30" t="s">
        <v>34</v>
      </c>
      <c r="U45" s="61" t="s">
        <v>59</v>
      </c>
      <c r="W45" s="34"/>
    </row>
    <row r="46" spans="1:23" ht="15" customHeight="1" x14ac:dyDescent="0.3">
      <c r="A46" s="23"/>
      <c r="C46" s="10" t="str">
        <f>IF(DAY(SepDom1)=1,IF(AND(YEAR(SepDom1+29)=AñoCalendario,MONTH(SepDom1+29)=9),SepDom1+29,""),IF(AND(YEAR(SepDom1+36)=AñoCalendario,MONTH(SepDom1+36)=9),SepDom1+36,""))</f>
        <v/>
      </c>
      <c r="D46" s="10" t="str">
        <f>IF(DAY(SepDom1)=1,IF(AND(YEAR(SepDom1+30)=AñoCalendario,MONTH(SepDom1+30)=9),SepDom1+30,""),IF(AND(YEAR(SepDom1+37)=AñoCalendario,MONTH(SepDom1+37)=9),SepDom1+37,""))</f>
        <v/>
      </c>
      <c r="E46" s="10" t="str">
        <f>IF(DAY(SepDom1)=1,IF(AND(YEAR(SepDom1+31)=AñoCalendario,MONTH(SepDom1+31)=9),SepDom1+31,""),IF(AND(YEAR(SepDom1+38)=AñoCalendario,MONTH(SepDom1+38)=9),SepDom1+38,""))</f>
        <v/>
      </c>
      <c r="F46" s="10" t="str">
        <f>IF(DAY(SepDom1)=1,IF(AND(YEAR(SepDom1+32)=AñoCalendario,MONTH(SepDom1+32)=9),SepDom1+32,""),IF(AND(YEAR(SepDom1+39)=AñoCalendario,MONTH(SepDom1+39)=9),SepDom1+39,""))</f>
        <v/>
      </c>
      <c r="G46" s="10" t="str">
        <f>IF(DAY(SepDom1)=1,IF(AND(YEAR(SepDom1+33)=AñoCalendario,MONTH(SepDom1+33)=9),SepDom1+33,""),IF(AND(YEAR(SepDom1+40)=AñoCalendario,MONTH(SepDom1+40)=9),SepDom1+40,""))</f>
        <v/>
      </c>
      <c r="H46" s="10" t="str">
        <f>IF(DAY(SepDom1)=1,IF(AND(YEAR(SepDom1+34)=AñoCalendario,MONTH(SepDom1+34)=9),SepDom1+34,""),IF(AND(YEAR(SepDom1+41)=AñoCalendario,MONTH(SepDom1+41)=9),SepDom1+41,""))</f>
        <v/>
      </c>
      <c r="I46" s="10" t="str">
        <f>IF(DAY(SepDom1)=1,IF(AND(YEAR(SepDom1+35)=AñoCalendario,MONTH(SepDom1+35)=9),SepDom1+35,""),IF(AND(YEAR(SepDom1+42)=AñoCalendario,MONTH(SepDom1+42)=9),SepDom1+42,""))</f>
        <v/>
      </c>
      <c r="J46" s="8"/>
      <c r="K46" s="10" t="str">
        <f>IF(DAY(OctDom1)=1,IF(AND(YEAR(OctDom1+29)=AñoCalendario,MONTH(OctDom1+29)=10),OctDom1+29,""),IF(AND(YEAR(OctDom1+36)=AñoCalendario,MONTH(OctDom1+36)=10),OctDom1+36,""))</f>
        <v/>
      </c>
      <c r="L46" s="10" t="str">
        <f>IF(DAY(OctDom1)=1,IF(AND(YEAR(OctDom1+30)=AñoCalendario,MONTH(OctDom1+30)=10),OctDom1+30,""),IF(AND(YEAR(OctDom1+37)=AñoCalendario,MONTH(OctDom1+37)=10),OctDom1+37,""))</f>
        <v/>
      </c>
      <c r="M46" s="10" t="str">
        <f>IF(DAY(OctDom1)=1,IF(AND(YEAR(OctDom1+31)=AñoCalendario,MONTH(OctDom1+31)=10),OctDom1+31,""),IF(AND(YEAR(OctDom1+38)=AñoCalendario,MONTH(OctDom1+38)=10),OctDom1+38,""))</f>
        <v/>
      </c>
      <c r="N46" s="10" t="str">
        <f>IF(DAY(OctDom1)=1,IF(AND(YEAR(OctDom1+32)=AñoCalendario,MONTH(OctDom1+32)=10),OctDom1+32,""),IF(AND(YEAR(OctDom1+39)=AñoCalendario,MONTH(OctDom1+39)=10),OctDom1+39,""))</f>
        <v/>
      </c>
      <c r="O46" s="10" t="str">
        <f>IF(DAY(OctDom1)=1,IF(AND(YEAR(OctDom1+33)=AñoCalendario,MONTH(OctDom1+33)=10),OctDom1+33,""),IF(AND(YEAR(OctDom1+40)=AñoCalendario,MONTH(OctDom1+40)=10),OctDom1+40,""))</f>
        <v/>
      </c>
      <c r="P46" s="10" t="str">
        <f>IF(DAY(OctDom1)=1,IF(AND(YEAR(OctDom1+34)=AñoCalendario,MONTH(OctDom1+34)=10),OctDom1+34,""),IF(AND(YEAR(OctDom1+41)=AñoCalendario,MONTH(OctDom1+41)=10),OctDom1+41,""))</f>
        <v/>
      </c>
      <c r="Q46" s="10" t="str">
        <f>IF(DAY(OctDom1)=1,IF(AND(YEAR(OctDom1+35)=AñoCalendario,MONTH(OctDom1+35)=10),OctDom1+35,""),IF(AND(YEAR(OctDom1+42)=AñoCalendario,MONTH(OctDom1+42)=10),OctDom1+42,""))</f>
        <v/>
      </c>
      <c r="S46" s="25"/>
      <c r="T46" s="30" t="s">
        <v>60</v>
      </c>
      <c r="U46" s="61" t="s">
        <v>59</v>
      </c>
      <c r="W46" s="34"/>
    </row>
    <row r="47" spans="1:23" ht="15" customHeight="1" x14ac:dyDescent="0.35">
      <c r="A47" s="23"/>
      <c r="J47" s="8"/>
      <c r="S47" s="25"/>
      <c r="T47" s="68" t="s">
        <v>54</v>
      </c>
      <c r="U47" s="68"/>
      <c r="V47" s="68"/>
      <c r="W47" s="34"/>
    </row>
    <row r="48" spans="1:23" ht="15" customHeight="1" x14ac:dyDescent="0.35">
      <c r="A48" s="23"/>
      <c r="C48" s="66" t="s">
        <v>6</v>
      </c>
      <c r="D48" s="66"/>
      <c r="E48" s="66"/>
      <c r="F48" s="66"/>
      <c r="G48" s="66"/>
      <c r="H48" s="66"/>
      <c r="I48" s="66"/>
      <c r="J48" s="8"/>
      <c r="K48" s="66" t="s">
        <v>18</v>
      </c>
      <c r="L48" s="66"/>
      <c r="M48" s="66"/>
      <c r="N48" s="66"/>
      <c r="O48" s="66"/>
      <c r="P48" s="66"/>
      <c r="Q48" s="66"/>
      <c r="S48" s="25"/>
      <c r="T48" s="67" t="s">
        <v>55</v>
      </c>
      <c r="U48" s="67"/>
      <c r="V48" s="67"/>
      <c r="W48" s="34"/>
    </row>
    <row r="49" spans="1:23" ht="15" customHeight="1" x14ac:dyDescent="0.3">
      <c r="A49" s="23"/>
      <c r="C49" s="20" t="s">
        <v>1</v>
      </c>
      <c r="D49" s="21" t="s">
        <v>7</v>
      </c>
      <c r="E49" s="21" t="s">
        <v>8</v>
      </c>
      <c r="F49" s="21" t="s">
        <v>9</v>
      </c>
      <c r="G49" s="21" t="s">
        <v>10</v>
      </c>
      <c r="H49" s="21" t="s">
        <v>11</v>
      </c>
      <c r="I49" s="22" t="s">
        <v>12</v>
      </c>
      <c r="J49" s="8"/>
      <c r="K49" s="18" t="s">
        <v>1</v>
      </c>
      <c r="L49" s="18" t="s">
        <v>7</v>
      </c>
      <c r="M49" s="18" t="s">
        <v>8</v>
      </c>
      <c r="N49" s="18" t="s">
        <v>9</v>
      </c>
      <c r="O49" s="18" t="s">
        <v>10</v>
      </c>
      <c r="P49" s="18" t="s">
        <v>11</v>
      </c>
      <c r="Q49" s="19" t="s">
        <v>12</v>
      </c>
      <c r="S49" s="25"/>
      <c r="U49" s="6"/>
      <c r="W49" s="32"/>
    </row>
    <row r="50" spans="1:23" ht="15" customHeight="1" x14ac:dyDescent="0.3">
      <c r="A50" s="23"/>
      <c r="C50" s="12" t="str">
        <f>IF(DAY(NovDom1)=1,"",IF(AND(YEAR(NovDom1+1)=AñoCalendario,MONTH(NovDom1+1)=11),NovDom1+1,""))</f>
        <v/>
      </c>
      <c r="D50" s="11" t="str">
        <f>IF(DAY(NovDom1)=1,"",IF(AND(YEAR(NovDom1+2)=AñoCalendario,MONTH(NovDom1+2)=11),NovDom1+2,""))</f>
        <v/>
      </c>
      <c r="E50" s="11" t="str">
        <f>IF(DAY(NovDom1)=1,"",IF(AND(YEAR(NovDom1+3)=AñoCalendario,MONTH(NovDom1+3)=11),NovDom1+3,""))</f>
        <v/>
      </c>
      <c r="F50" s="11" t="str">
        <f>IF(DAY(NovDom1)=1,"",IF(AND(YEAR(NovDom1+4)=AñoCalendario,MONTH(NovDom1+4)=11),NovDom1+4,""))</f>
        <v/>
      </c>
      <c r="G50" s="11" t="str">
        <f>IF(DAY(NovDom1)=1,"",IF(AND(YEAR(NovDom1+5)=AñoCalendario,MONTH(NovDom1+5)=11),NovDom1+5,""))</f>
        <v/>
      </c>
      <c r="H50" s="11" t="str">
        <f>IF(DAY(NovDom1)=1,"",IF(AND(YEAR(NovDom1+6)=AñoCalendario,MONTH(NovDom1+6)=11),NovDom1+6,""))</f>
        <v/>
      </c>
      <c r="I50" s="15">
        <f>IF(DAY(NovDom1)=1,IF(AND(YEAR(NovDom1)=AñoCalendario,MONTH(NovDom1)=11),NovDom1,""),IF(AND(YEAR(NovDom1+7)=AñoCalendario,MONTH(NovDom1+7)=11),NovDom1+7,""))</f>
        <v>44136</v>
      </c>
      <c r="J50" s="8"/>
      <c r="K50" s="11" t="str">
        <f>IF(DAY(DecDom1)=1,"",IF(AND(YEAR(DecDom1+1)=AñoCalendario,MONTH(DecDom1+1)=12),DecDom1+1,""))</f>
        <v/>
      </c>
      <c r="L50" s="17">
        <f>IF(DAY(DecDom1)=1,"",IF(AND(YEAR(DecDom1+2)=AñoCalendario,MONTH(DecDom1+2)=12),DecDom1+2,""))</f>
        <v>44166</v>
      </c>
      <c r="M50" s="17">
        <f>IF(DAY(DecDom1)=1,"",IF(AND(YEAR(DecDom1+3)=AñoCalendario,MONTH(DecDom1+3)=12),DecDom1+3,""))</f>
        <v>44167</v>
      </c>
      <c r="N50" s="17">
        <f>IF(DAY(DecDom1)=1,"",IF(AND(YEAR(DecDom1+4)=AñoCalendario,MONTH(DecDom1+4)=12),DecDom1+4,""))</f>
        <v>44168</v>
      </c>
      <c r="O50" s="17">
        <f>IF(DAY(DecDom1)=1,"",IF(AND(YEAR(DecDom1+5)=AñoCalendario,MONTH(DecDom1+5)=12),DecDom1+5,""))</f>
        <v>44169</v>
      </c>
      <c r="P50" s="11">
        <f>IF(DAY(DecDom1)=1,"",IF(AND(YEAR(DecDom1+6)=AñoCalendario,MONTH(DecDom1+6)=12),DecDom1+6,""))</f>
        <v>44170</v>
      </c>
      <c r="Q50" s="16">
        <f>IF(DAY(DecDom1)=1,IF(AND(YEAR(DecDom1)=AñoCalendario,MONTH(DecDom1)=12),DecDom1,""),IF(AND(YEAR(DecDom1+7)=AñoCalendario,MONTH(DecDom1+7)=12),DecDom1+7,""))</f>
        <v>44171</v>
      </c>
      <c r="S50" s="25"/>
      <c r="U50" s="3"/>
      <c r="W50" s="32"/>
    </row>
    <row r="51" spans="1:23" ht="15" customHeight="1" x14ac:dyDescent="0.25">
      <c r="A51" s="23"/>
      <c r="C51" s="46">
        <f>IF(DAY(NovDom1)=1,IF(AND(YEAR(NovDom1+1)=AñoCalendario,MONTH(NovDom1+1)=11),NovDom1+1,""),IF(AND(YEAR(NovDom1+8)=AñoCalendario,MONTH(NovDom1+8)=11),NovDom1+8,""))</f>
        <v>44137</v>
      </c>
      <c r="D51" s="45">
        <f>IF(DAY(NovDom1)=1,IF(AND(YEAR(NovDom1+2)=AñoCalendario,MONTH(NovDom1+2)=11),NovDom1+2,""),IF(AND(YEAR(NovDom1+9)=AñoCalendario,MONTH(NovDom1+9)=11),NovDom1+9,""))</f>
        <v>44138</v>
      </c>
      <c r="E51" s="45">
        <f>IF(DAY(NovDom1)=1,IF(AND(YEAR(NovDom1+3)=AñoCalendario,MONTH(NovDom1+3)=11),NovDom1+3,""),IF(AND(YEAR(NovDom1+10)=AñoCalendario,MONTH(NovDom1+10)=11),NovDom1+10,""))</f>
        <v>44139</v>
      </c>
      <c r="F51" s="45">
        <f>IF(DAY(NovDom1)=1,IF(AND(YEAR(NovDom1+4)=AñoCalendario,MONTH(NovDom1+4)=11),NovDom1+4,""),IF(AND(YEAR(NovDom1+11)=AñoCalendario,MONTH(NovDom1+11)=11),NovDom1+11,""))</f>
        <v>44140</v>
      </c>
      <c r="G51" s="45">
        <f>IF(DAY(NovDom1)=1,IF(AND(YEAR(NovDom1+5)=AñoCalendario,MONTH(NovDom1+5)=11),NovDom1+5,""),IF(AND(YEAR(NovDom1+12)=AñoCalendario,MONTH(NovDom1+12)=11),NovDom1+12,""))</f>
        <v>44141</v>
      </c>
      <c r="H51" s="11">
        <f>IF(DAY(NovDom1)=1,IF(AND(YEAR(NovDom1+6)=AñoCalendario,MONTH(NovDom1+6)=11),NovDom1+6,""),IF(AND(YEAR(NovDom1+13)=AñoCalendario,MONTH(NovDom1+13)=11),NovDom1+13,""))</f>
        <v>44142</v>
      </c>
      <c r="I51" s="15">
        <f>IF(DAY(NovDom1)=1,IF(AND(YEAR(NovDom1+7)=AñoCalendario,MONTH(NovDom1+7)=11),NovDom1+7,""),IF(AND(YEAR(NovDom1+14)=AñoCalendario,MONTH(NovDom1+14)=11),NovDom1+14,""))</f>
        <v>44143</v>
      </c>
      <c r="J51" s="8"/>
      <c r="K51" s="11">
        <f>IF(DAY(DecDom1)=1,IF(AND(YEAR(DecDom1+1)=AñoCalendario,MONTH(DecDom1+1)=12),DecDom1+1,""),IF(AND(YEAR(DecDom1+8)=AñoCalendario,MONTH(DecDom1+8)=12),DecDom1+8,""))</f>
        <v>44172</v>
      </c>
      <c r="L51" s="11">
        <f>IF(DAY(DecDom1)=1,IF(AND(YEAR(DecDom1+2)=AñoCalendario,MONTH(DecDom1+2)=12),DecDom1+2,""),IF(AND(YEAR(DecDom1+9)=AñoCalendario,MONTH(DecDom1+9)=12),DecDom1+9,""))</f>
        <v>44173</v>
      </c>
      <c r="M51" s="11">
        <f>IF(DAY(DecDom1)=1,IF(AND(YEAR(DecDom1+3)=AñoCalendario,MONTH(DecDom1+3)=12),DecDom1+3,""),IF(AND(YEAR(DecDom1+10)=AñoCalendario,MONTH(DecDom1+10)=12),DecDom1+10,""))</f>
        <v>44174</v>
      </c>
      <c r="N51" s="11">
        <f>IF(DAY(DecDom1)=1,IF(AND(YEAR(DecDom1+4)=AñoCalendario,MONTH(DecDom1+4)=12),DecDom1+4,""),IF(AND(YEAR(DecDom1+11)=AñoCalendario,MONTH(DecDom1+11)=12),DecDom1+11,""))</f>
        <v>44175</v>
      </c>
      <c r="O51" s="11">
        <f>IF(DAY(DecDom1)=1,IF(AND(YEAR(DecDom1+5)=AñoCalendario,MONTH(DecDom1+5)=12),DecDom1+5,""),IF(AND(YEAR(DecDom1+12)=AñoCalendario,MONTH(DecDom1+12)=12),DecDom1+12,""))</f>
        <v>44176</v>
      </c>
      <c r="P51" s="11">
        <f>IF(DAY(DecDom1)=1,IF(AND(YEAR(DecDom1+6)=AñoCalendario,MONTH(DecDom1+6)=12),DecDom1+6,""),IF(AND(YEAR(DecDom1+13)=AñoCalendario,MONTH(DecDom1+13)=12),DecDom1+13,""))</f>
        <v>44177</v>
      </c>
      <c r="Q51" s="16">
        <f>IF(DAY(DecDom1)=1,IF(AND(YEAR(DecDom1+7)=AñoCalendario,MONTH(DecDom1+7)=12),DecDom1+7,""),IF(AND(YEAR(DecDom1+14)=AñoCalendario,MONTH(DecDom1+14)=12),DecDom1+14,""))</f>
        <v>44178</v>
      </c>
      <c r="S51" s="25"/>
      <c r="U51" s="65" t="s">
        <v>20</v>
      </c>
      <c r="W51" s="32"/>
    </row>
    <row r="52" spans="1:23" ht="15" customHeight="1" x14ac:dyDescent="0.25">
      <c r="A52" s="24"/>
      <c r="C52" s="46">
        <f>IF(DAY(NovDom1)=1,IF(AND(YEAR(NovDom1+8)=AñoCalendario,MONTH(NovDom1+8)=11),NovDom1+8,""),IF(AND(YEAR(NovDom1+15)=AñoCalendario,MONTH(NovDom1+15)=11),NovDom1+15,""))</f>
        <v>44144</v>
      </c>
      <c r="D52" s="45">
        <f>IF(DAY(NovDom1)=1,IF(AND(YEAR(NovDom1+9)=AñoCalendario,MONTH(NovDom1+9)=11),NovDom1+9,""),IF(AND(YEAR(NovDom1+16)=AñoCalendario,MONTH(NovDom1+16)=11),NovDom1+16,""))</f>
        <v>44145</v>
      </c>
      <c r="E52" s="45">
        <f>IF(DAY(NovDom1)=1,IF(AND(YEAR(NovDom1+10)=AñoCalendario,MONTH(NovDom1+10)=11),NovDom1+10,""),IF(AND(YEAR(NovDom1+17)=AñoCalendario,MONTH(NovDom1+17)=11),NovDom1+17,""))</f>
        <v>44146</v>
      </c>
      <c r="F52" s="45">
        <f>IF(DAY(NovDom1)=1,IF(AND(YEAR(NovDom1+11)=AñoCalendario,MONTH(NovDom1+11)=11),NovDom1+11,""),IF(AND(YEAR(NovDom1+18)=AñoCalendario,MONTH(NovDom1+18)=11),NovDom1+18,""))</f>
        <v>44147</v>
      </c>
      <c r="G52" s="49">
        <f>IF(DAY(NovDom1)=1,IF(AND(YEAR(NovDom1+12)=AñoCalendario,MONTH(NovDom1+12)=11),NovDom1+12,""),IF(AND(YEAR(NovDom1+19)=AñoCalendario,MONTH(NovDom1+19)=11),NovDom1+19,""))</f>
        <v>44148</v>
      </c>
      <c r="H52" s="11">
        <f>IF(DAY(NovDom1)=1,IF(AND(YEAR(NovDom1+13)=AñoCalendario,MONTH(NovDom1+13)=11),NovDom1+13,""),IF(AND(YEAR(NovDom1+20)=AñoCalendario,MONTH(NovDom1+20)=11),NovDom1+20,""))</f>
        <v>44149</v>
      </c>
      <c r="I52" s="15">
        <f>IF(DAY(NovDom1)=1,IF(AND(YEAR(NovDom1+14)=AñoCalendario,MONTH(NovDom1+14)=11),NovDom1+14,""),IF(AND(YEAR(NovDom1+21)=AñoCalendario,MONTH(NovDom1+21)=11),NovDom1+21,""))</f>
        <v>44150</v>
      </c>
      <c r="J52" s="8"/>
      <c r="K52" s="11">
        <f>IF(DAY(DecDom1)=1,IF(AND(YEAR(DecDom1+8)=AñoCalendario,MONTH(DecDom1+8)=12),DecDom1+8,""),IF(AND(YEAR(DecDom1+15)=AñoCalendario,MONTH(DecDom1+15)=12),DecDom1+15,""))</f>
        <v>44179</v>
      </c>
      <c r="L52" s="11">
        <f>IF(DAY(DecDom1)=1,IF(AND(YEAR(DecDom1+9)=AñoCalendario,MONTH(DecDom1+9)=12),DecDom1+9,""),IF(AND(YEAR(DecDom1+16)=AñoCalendario,MONTH(DecDom1+16)=12),DecDom1+16,""))</f>
        <v>44180</v>
      </c>
      <c r="M52" s="11">
        <f>IF(DAY(DecDom1)=1,IF(AND(YEAR(DecDom1+10)=AñoCalendario,MONTH(DecDom1+10)=12),DecDom1+10,""),IF(AND(YEAR(DecDom1+17)=AñoCalendario,MONTH(DecDom1+17)=12),DecDom1+17,""))</f>
        <v>44181</v>
      </c>
      <c r="N52" s="11">
        <f>IF(DAY(DecDom1)=1,IF(AND(YEAR(DecDom1+11)=AñoCalendario,MONTH(DecDom1+11)=12),DecDom1+11,""),IF(AND(YEAR(DecDom1+18)=AñoCalendario,MONTH(DecDom1+18)=12),DecDom1+18,""))</f>
        <v>44182</v>
      </c>
      <c r="O52" s="11">
        <f>IF(DAY(DecDom1)=1,IF(AND(YEAR(DecDom1+12)=AñoCalendario,MONTH(DecDom1+12)=12),DecDom1+12,""),IF(AND(YEAR(DecDom1+19)=AñoCalendario,MONTH(DecDom1+19)=12),DecDom1+19,""))</f>
        <v>44183</v>
      </c>
      <c r="P52" s="11">
        <f>IF(DAY(DecDom1)=1,IF(AND(YEAR(DecDom1+13)=AñoCalendario,MONTH(DecDom1+13)=12),DecDom1+13,""),IF(AND(YEAR(DecDom1+20)=AñoCalendario,MONTH(DecDom1+20)=12),DecDom1+20,""))</f>
        <v>44184</v>
      </c>
      <c r="Q52" s="16">
        <f>IF(DAY(DecDom1)=1,IF(AND(YEAR(DecDom1+14)=AñoCalendario,MONTH(DecDom1+14)=12),DecDom1+14,""),IF(AND(YEAR(DecDom1+21)=AñoCalendario,MONTH(DecDom1+21)=12),DecDom1+21,""))</f>
        <v>44185</v>
      </c>
      <c r="S52" s="25"/>
      <c r="U52" s="65"/>
      <c r="W52" s="32"/>
    </row>
    <row r="53" spans="1:23" ht="15" customHeight="1" x14ac:dyDescent="0.25">
      <c r="A53" s="24"/>
      <c r="C53" s="37">
        <f>IF(DAY(NovDom1)=1,IF(AND(YEAR(NovDom1+15)=AñoCalendario,MONTH(NovDom1+15)=11),NovDom1+15,""),IF(AND(YEAR(NovDom1+22)=AñoCalendario,MONTH(NovDom1+22)=11),NovDom1+22,""))</f>
        <v>44151</v>
      </c>
      <c r="D53" s="36">
        <f>IF(DAY(NovDom1)=1,IF(AND(YEAR(NovDom1+16)=AñoCalendario,MONTH(NovDom1+16)=11),NovDom1+16,""),IF(AND(YEAR(NovDom1+23)=AñoCalendario,MONTH(NovDom1+23)=11),NovDom1+23,""))</f>
        <v>44152</v>
      </c>
      <c r="E53" s="36">
        <f>IF(DAY(NovDom1)=1,IF(AND(YEAR(NovDom1+17)=AñoCalendario,MONTH(NovDom1+17)=11),NovDom1+17,""),IF(AND(YEAR(NovDom1+24)=AñoCalendario,MONTH(NovDom1+24)=11),NovDom1+24,""))</f>
        <v>44153</v>
      </c>
      <c r="F53" s="36">
        <f>IF(DAY(NovDom1)=1,IF(AND(YEAR(NovDom1+18)=AñoCalendario,MONTH(NovDom1+18)=11),NovDom1+18,""),IF(AND(YEAR(NovDom1+25)=AñoCalendario,MONTH(NovDom1+25)=11),NovDom1+25,""))</f>
        <v>44154</v>
      </c>
      <c r="G53" s="36">
        <f>IF(DAY(NovDom1)=1,IF(AND(YEAR(NovDom1+19)=AñoCalendario,MONTH(NovDom1+19)=11),NovDom1+19,""),IF(AND(YEAR(NovDom1+26)=AñoCalendario,MONTH(NovDom1+26)=11),NovDom1+26,""))</f>
        <v>44155</v>
      </c>
      <c r="H53" s="11">
        <f>IF(DAY(NovDom1)=1,IF(AND(YEAR(NovDom1+20)=AñoCalendario,MONTH(NovDom1+20)=11),NovDom1+20,""),IF(AND(YEAR(NovDom1+27)=AñoCalendario,MONTH(NovDom1+27)=11),NovDom1+27,""))</f>
        <v>44156</v>
      </c>
      <c r="I53" s="15">
        <f>IF(DAY(NovDom1)=1,IF(AND(YEAR(NovDom1+21)=AñoCalendario,MONTH(NovDom1+21)=11),NovDom1+21,""),IF(AND(YEAR(NovDom1+28)=AñoCalendario,MONTH(NovDom1+28)=11),NovDom1+28,""))</f>
        <v>44157</v>
      </c>
      <c r="J53" s="8"/>
      <c r="K53" s="11">
        <f>IF(DAY(DecDom1)=1,IF(AND(YEAR(DecDom1+15)=AñoCalendario,MONTH(DecDom1+15)=12),DecDom1+15,""),IF(AND(YEAR(DecDom1+22)=AñoCalendario,MONTH(DecDom1+22)=12),DecDom1+22,""))</f>
        <v>44186</v>
      </c>
      <c r="L53" s="11">
        <f>IF(DAY(DecDom1)=1,IF(AND(YEAR(DecDom1+16)=AñoCalendario,MONTH(DecDom1+16)=12),DecDom1+16,""),IF(AND(YEAR(DecDom1+23)=AñoCalendario,MONTH(DecDom1+23)=12),DecDom1+23,""))</f>
        <v>44187</v>
      </c>
      <c r="M53" s="11">
        <f>IF(DAY(DecDom1)=1,IF(AND(YEAR(DecDom1+17)=AñoCalendario,MONTH(DecDom1+17)=12),DecDom1+17,""),IF(AND(YEAR(DecDom1+24)=AñoCalendario,MONTH(DecDom1+24)=12),DecDom1+24,""))</f>
        <v>44188</v>
      </c>
      <c r="N53" s="11">
        <f>IF(DAY(DecDom1)=1,IF(AND(YEAR(DecDom1+18)=AñoCalendario,MONTH(DecDom1+18)=12),DecDom1+18,""),IF(AND(YEAR(DecDom1+25)=AñoCalendario,MONTH(DecDom1+25)=12),DecDom1+25,""))</f>
        <v>44189</v>
      </c>
      <c r="O53" s="11">
        <f>IF(DAY(DecDom1)=1,IF(AND(YEAR(DecDom1+19)=AñoCalendario,MONTH(DecDom1+19)=12),DecDom1+19,""),IF(AND(YEAR(DecDom1+26)=AñoCalendario,MONTH(DecDom1+26)=12),DecDom1+26,""))</f>
        <v>44190</v>
      </c>
      <c r="P53" s="11">
        <f>IF(DAY(DecDom1)=1,IF(AND(YEAR(DecDom1+20)=AñoCalendario,MONTH(DecDom1+20)=12),DecDom1+20,""),IF(AND(YEAR(DecDom1+27)=AñoCalendario,MONTH(DecDom1+27)=12),DecDom1+27,""))</f>
        <v>44191</v>
      </c>
      <c r="Q53" s="16">
        <f>IF(DAY(DecDom1)=1,IF(AND(YEAR(DecDom1+21)=AñoCalendario,MONTH(DecDom1+21)=12),DecDom1+21,""),IF(AND(YEAR(DecDom1+28)=AñoCalendario,MONTH(DecDom1+28)=12),DecDom1+28,""))</f>
        <v>44192</v>
      </c>
      <c r="S53" s="25"/>
      <c r="U53" s="65"/>
      <c r="W53" s="32"/>
    </row>
    <row r="54" spans="1:23" ht="15" customHeight="1" x14ac:dyDescent="0.25">
      <c r="A54" s="24"/>
      <c r="C54" s="12">
        <f>IF(DAY(NovDom1)=1,IF(AND(YEAR(NovDom1+22)=AñoCalendario,MONTH(NovDom1+22)=11),NovDom1+22,""),IF(AND(YEAR(NovDom1+29)=AñoCalendario,MONTH(NovDom1+29)=11),NovDom1+29,""))</f>
        <v>44158</v>
      </c>
      <c r="D54" s="11">
        <f>IF(DAY(NovDom1)=1,IF(AND(YEAR(NovDom1+23)=AñoCalendario,MONTH(NovDom1+23)=11),NovDom1+23,""),IF(AND(YEAR(NovDom1+30)=AñoCalendario,MONTH(NovDom1+30)=11),NovDom1+30,""))</f>
        <v>44159</v>
      </c>
      <c r="E54" s="11">
        <f>IF(DAY(NovDom1)=1,IF(AND(YEAR(NovDom1+24)=AñoCalendario,MONTH(NovDom1+24)=11),NovDom1+24,""),IF(AND(YEAR(NovDom1+31)=AñoCalendario,MONTH(NovDom1+31)=11),NovDom1+31,""))</f>
        <v>44160</v>
      </c>
      <c r="F54" s="62">
        <f>IF(DAY(NovDom1)=1,IF(AND(YEAR(NovDom1+25)=AñoCalendario,MONTH(NovDom1+25)=11),NovDom1+25,""),IF(AND(YEAR(NovDom1+32)=AñoCalendario,MONTH(NovDom1+32)=11),NovDom1+32,""))</f>
        <v>44161</v>
      </c>
      <c r="G54" s="11">
        <f>IF(DAY(NovDom1)=1,IF(AND(YEAR(NovDom1+26)=AñoCalendario,MONTH(NovDom1+26)=11),NovDom1+26,""),IF(AND(YEAR(NovDom1+33)=AñoCalendario,MONTH(NovDom1+33)=11),NovDom1+33,""))</f>
        <v>44162</v>
      </c>
      <c r="H54" s="11">
        <f>IF(DAY(NovDom1)=1,IF(AND(YEAR(NovDom1+27)=AñoCalendario,MONTH(NovDom1+27)=11),NovDom1+27,""),IF(AND(YEAR(NovDom1+34)=AñoCalendario,MONTH(NovDom1+34)=11),NovDom1+34,""))</f>
        <v>44163</v>
      </c>
      <c r="I54" s="15">
        <f>IF(DAY(NovDom1)=1,IF(AND(YEAR(NovDom1+28)=AñoCalendario,MONTH(NovDom1+28)=11),NovDom1+28,""),IF(AND(YEAR(NovDom1+35)=AñoCalendario,MONTH(NovDom1+35)=11),NovDom1+35,""))</f>
        <v>44164</v>
      </c>
      <c r="J54" s="8"/>
      <c r="K54" s="11">
        <f>IF(DAY(DecDom1)=1,IF(AND(YEAR(DecDom1+22)=AñoCalendario,MONTH(DecDom1+22)=12),DecDom1+22,""),IF(AND(YEAR(DecDom1+29)=AñoCalendario,MONTH(DecDom1+29)=12),DecDom1+29,""))</f>
        <v>44193</v>
      </c>
      <c r="L54" s="11">
        <f>IF(DAY(DecDom1)=1,IF(AND(YEAR(DecDom1+23)=AñoCalendario,MONTH(DecDom1+23)=12),DecDom1+23,""),IF(AND(YEAR(DecDom1+30)=AñoCalendario,MONTH(DecDom1+30)=12),DecDom1+30,""))</f>
        <v>44194</v>
      </c>
      <c r="M54" s="11">
        <f>IF(DAY(DecDom1)=1,IF(AND(YEAR(DecDom1+24)=AñoCalendario,MONTH(DecDom1+24)=12),DecDom1+24,""),IF(AND(YEAR(DecDom1+31)=AñoCalendario,MONTH(DecDom1+31)=12),DecDom1+31,""))</f>
        <v>44195</v>
      </c>
      <c r="N54" s="11">
        <f>IF(DAY(DecDom1)=1,IF(AND(YEAR(DecDom1+25)=AñoCalendario,MONTH(DecDom1+25)=12),DecDom1+25,""),IF(AND(YEAR(DecDom1+32)=AñoCalendario,MONTH(DecDom1+32)=12),DecDom1+32,""))</f>
        <v>44196</v>
      </c>
      <c r="O54" s="11" t="str">
        <f>IF(DAY(DecDom1)=1,IF(AND(YEAR(DecDom1+26)=AñoCalendario,MONTH(DecDom1+26)=12),DecDom1+26,""),IF(AND(YEAR(DecDom1+33)=AñoCalendario,MONTH(DecDom1+33)=12),DecDom1+33,""))</f>
        <v/>
      </c>
      <c r="P54" s="11" t="str">
        <f>IF(DAY(DecDom1)=1,IF(AND(YEAR(DecDom1+27)=AñoCalendario,MONTH(DecDom1+27)=12),DecDom1+27,""),IF(AND(YEAR(DecDom1+34)=AñoCalendario,MONTH(DecDom1+34)=12),DecDom1+34,""))</f>
        <v/>
      </c>
      <c r="Q54" s="11" t="str">
        <f>IF(DAY(DecDom1)=1,IF(AND(YEAR(DecDom1+28)=AñoCalendario,MONTH(DecDom1+28)=12),DecDom1+28,""),IF(AND(YEAR(DecDom1+35)=AñoCalendario,MONTH(DecDom1+35)=12),DecDom1+35,""))</f>
        <v/>
      </c>
      <c r="S54" s="25"/>
      <c r="U54" s="65"/>
      <c r="W54" s="32"/>
    </row>
    <row r="55" spans="1:23" ht="15" customHeight="1" x14ac:dyDescent="0.25">
      <c r="A55" s="24"/>
      <c r="C55" s="27">
        <f>IF(DAY(NovDom1)=1,IF(AND(YEAR(NovDom1+29)=AñoCalendario,MONTH(NovDom1+29)=11),NovDom1+29,""),IF(AND(YEAR(NovDom1+36)=AñoCalendario,MONTH(NovDom1+36)=11),NovDom1+36,""))</f>
        <v>44165</v>
      </c>
      <c r="D55" s="13" t="str">
        <f>IF(DAY(NovDom1)=1,IF(AND(YEAR(NovDom1+30)=AñoCalendario,MONTH(NovDom1+30)=11),NovDom1+30,""),IF(AND(YEAR(NovDom1+37)=AñoCalendario,MONTH(NovDom1+37)=11),NovDom1+37,""))</f>
        <v/>
      </c>
      <c r="E55" s="13" t="str">
        <f>IF(DAY(NovDom1)=1,IF(AND(YEAR(NovDom1+31)=AñoCalendario,MONTH(NovDom1+31)=11),NovDom1+31,""),IF(AND(YEAR(NovDom1+38)=AñoCalendario,MONTH(NovDom1+38)=11),NovDom1+38,""))</f>
        <v/>
      </c>
      <c r="F55" s="13" t="str">
        <f>IF(DAY(NovDom1)=1,IF(AND(YEAR(NovDom1+32)=AñoCalendario,MONTH(NovDom1+32)=11),NovDom1+32,""),IF(AND(YEAR(NovDom1+39)=AñoCalendario,MONTH(NovDom1+39)=11),NovDom1+39,""))</f>
        <v/>
      </c>
      <c r="G55" s="13" t="str">
        <f>IF(DAY(NovDom1)=1,IF(AND(YEAR(NovDom1+33)=AñoCalendario,MONTH(NovDom1+33)=11),NovDom1+33,""),IF(AND(YEAR(NovDom1+40)=AñoCalendario,MONTH(NovDom1+40)=11),NovDom1+40,""))</f>
        <v/>
      </c>
      <c r="H55" s="13" t="str">
        <f>IF(DAY(NovDom1)=1,IF(AND(YEAR(NovDom1+34)=AñoCalendario,MONTH(NovDom1+34)=11),NovDom1+34,""),IF(AND(YEAR(NovDom1+41)=AñoCalendario,MONTH(NovDom1+41)=11),NovDom1+41,""))</f>
        <v/>
      </c>
      <c r="I55" s="14" t="str">
        <f>IF(DAY(NovDom1)=1,IF(AND(YEAR(NovDom1+35)=AñoCalendario,MONTH(NovDom1+35)=11),NovDom1+35,""),IF(AND(YEAR(NovDom1+42)=AñoCalendario,MONTH(NovDom1+42)=11),NovDom1+42,""))</f>
        <v/>
      </c>
      <c r="J55" s="8"/>
      <c r="K55" s="10" t="str">
        <f>IF(DAY(DecDom1)=1,IF(AND(YEAR(DecDom1+29)=AñoCalendario,MONTH(DecDom1+29)=12),DecDom1+29,""),IF(AND(YEAR(DecDom1+36)=AñoCalendario,MONTH(DecDom1+36)=12),DecDom1+36,""))</f>
        <v/>
      </c>
      <c r="L55" s="10" t="str">
        <f>IF(DAY(DecDom1)=1,IF(AND(YEAR(DecDom1+30)=AñoCalendario,MONTH(DecDom1+30)=12),DecDom1+30,""),IF(AND(YEAR(DecDom1+37)=AñoCalendario,MONTH(DecDom1+37)=12),DecDom1+37,""))</f>
        <v/>
      </c>
      <c r="M55" s="10" t="str">
        <f>IF(DAY(DecDom1)=1,IF(AND(YEAR(DecDom1+31)=AñoCalendario,MONTH(DecDom1+31)=12),DecDom1+31,""),IF(AND(YEAR(DecDom1+38)=AñoCalendario,MONTH(DecDom1+38)=12),DecDom1+38,""))</f>
        <v/>
      </c>
      <c r="N55" s="10" t="str">
        <f>IF(DAY(DecDom1)=1,IF(AND(YEAR(DecDom1+32)=AñoCalendario,MONTH(DecDom1+32)=12),DecDom1+32,""),IF(AND(YEAR(DecDom1+39)=AñoCalendario,MONTH(DecDom1+39)=12),DecDom1+39,""))</f>
        <v/>
      </c>
      <c r="O55" s="10" t="str">
        <f>IF(DAY(DecDom1)=1,IF(AND(YEAR(DecDom1+33)=AñoCalendario,MONTH(DecDom1+33)=12),DecDom1+33,""),IF(AND(YEAR(DecDom1+40)=AñoCalendario,MONTH(DecDom1+40)=12),DecDom1+40,""))</f>
        <v/>
      </c>
      <c r="P55" s="10" t="str">
        <f>IF(DAY(DecDom1)=1,IF(AND(YEAR(DecDom1+34)=AñoCalendario,MONTH(DecDom1+34)=12),DecDom1+34,""),IF(AND(YEAR(DecDom1+41)=AñoCalendario,MONTH(DecDom1+41)=12),DecDom1+41,""))</f>
        <v/>
      </c>
      <c r="Q55" s="10" t="str">
        <f>IF(DAY(DecDom1)=1,IF(AND(YEAR(DecDom1+35)=AñoCalendario,MONTH(DecDom1+35)=12),DecDom1+35,""),IF(AND(YEAR(DecDom1+42)=AñoCalendario,MONTH(DecDom1+42)=12),DecDom1+42,""))</f>
        <v/>
      </c>
      <c r="S55" s="25"/>
      <c r="U55" s="65"/>
      <c r="W55" s="32"/>
    </row>
    <row r="56" spans="1:23" ht="15" customHeight="1" x14ac:dyDescent="0.25">
      <c r="A56" s="24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32"/>
      <c r="U56" s="41"/>
      <c r="V56" s="32"/>
      <c r="W56" s="32"/>
    </row>
    <row r="57" spans="1:23" ht="15" customHeight="1" x14ac:dyDescent="0.25">
      <c r="U57" s="2"/>
    </row>
    <row r="58" spans="1:23" ht="15" customHeight="1" x14ac:dyDescent="0.25"/>
    <row r="59" spans="1:23" ht="15" customHeight="1" x14ac:dyDescent="0.25"/>
    <row r="60" spans="1:23" ht="15" customHeight="1" x14ac:dyDescent="0.25"/>
    <row r="61" spans="1:23" ht="15" customHeight="1" x14ac:dyDescent="0.25"/>
    <row r="62" spans="1:23" ht="15" customHeight="1" x14ac:dyDescent="0.25"/>
    <row r="63" spans="1:23" ht="15" customHeight="1" x14ac:dyDescent="0.25"/>
    <row r="64" spans="1:23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</sheetData>
  <mergeCells count="43">
    <mergeCell ref="U22:V22"/>
    <mergeCell ref="T41:V41"/>
    <mergeCell ref="T38:V38"/>
    <mergeCell ref="T28:V28"/>
    <mergeCell ref="T24:V24"/>
    <mergeCell ref="T32:V32"/>
    <mergeCell ref="T29:V29"/>
    <mergeCell ref="T31:V31"/>
    <mergeCell ref="T39:V39"/>
    <mergeCell ref="T40:V40"/>
    <mergeCell ref="T30:V30"/>
    <mergeCell ref="U11:V11"/>
    <mergeCell ref="T1:V1"/>
    <mergeCell ref="U15:V15"/>
    <mergeCell ref="U16:V16"/>
    <mergeCell ref="T2:V2"/>
    <mergeCell ref="T8:V8"/>
    <mergeCell ref="U9:V9"/>
    <mergeCell ref="U10:V10"/>
    <mergeCell ref="U17:V17"/>
    <mergeCell ref="U18:V18"/>
    <mergeCell ref="T20:V20"/>
    <mergeCell ref="K12:Q12"/>
    <mergeCell ref="C21:I21"/>
    <mergeCell ref="K21:Q21"/>
    <mergeCell ref="U12:V12"/>
    <mergeCell ref="T14:V14"/>
    <mergeCell ref="U21:V21"/>
    <mergeCell ref="C30:I30"/>
    <mergeCell ref="K30:Q30"/>
    <mergeCell ref="C1:F1"/>
    <mergeCell ref="C3:I3"/>
    <mergeCell ref="K3:Q3"/>
    <mergeCell ref="B2:K2"/>
    <mergeCell ref="C12:I12"/>
    <mergeCell ref="G1:S1"/>
    <mergeCell ref="U51:U55"/>
    <mergeCell ref="C39:I39"/>
    <mergeCell ref="K39:Q39"/>
    <mergeCell ref="C48:I48"/>
    <mergeCell ref="K48:Q48"/>
    <mergeCell ref="T48:V48"/>
    <mergeCell ref="T47:V47"/>
  </mergeCells>
  <phoneticPr fontId="3" type="noConversion"/>
  <conditionalFormatting sqref="T38">
    <cfRule type="expression" dxfId="128" priority="1">
      <formula>IFERROR(INDEX(DiasCategorias, T38-FechaInicio+1),0)=1</formula>
    </cfRule>
    <cfRule type="expression" dxfId="127" priority="2">
      <formula>IFERROR(INDEX(DiasCategorias, T38-FechaInicio+1),0)=2</formula>
    </cfRule>
    <cfRule type="expression" dxfId="126" priority="3">
      <formula>IFERROR(INDEX(DiasCategorias, T38-FechaInicio+1),0)=3</formula>
    </cfRule>
    <cfRule type="expression" dxfId="125" priority="4">
      <formula>IFERROR(INDEX(DiasCategorias, T38-FechaInicio+1),0)=4</formula>
    </cfRule>
    <cfRule type="expression" dxfId="124" priority="5">
      <formula>IFERROR(INDEX(DiasCategorias, T38-FechaInicio+1),0)=5</formula>
    </cfRule>
    <cfRule type="expression" dxfId="123" priority="6">
      <formula>IFERROR(INDEX(DiasCategorias, T38-FechaInicio+1),0)=6</formula>
    </cfRule>
    <cfRule type="expression" dxfId="122" priority="7">
      <formula>IFERROR(INDEX(DiasCategorias, T38-FechaInicio+1),0)=7</formula>
    </cfRule>
    <cfRule type="expression" dxfId="121" priority="8">
      <formula>IFERROR(INDEX(DiasCategorias, T38-FechaInicio+1),0)=8</formula>
    </cfRule>
    <cfRule type="expression" dxfId="120" priority="9">
      <formula>IFERROR(INDEX(DiasCategorias, T38-FechaInicio+1),0)=9</formula>
    </cfRule>
    <cfRule type="expression" dxfId="119" priority="10">
      <formula>IFERROR(INDEX(DiasCategorias, T38-FechaInicio+1),0)=10</formula>
    </cfRule>
    <cfRule type="expression" dxfId="118" priority="11">
      <formula>IFERROR(INDEX(DiasCategorias, T38-FechaInicio+1),0)=11</formula>
    </cfRule>
    <cfRule type="expression" dxfId="117" priority="12">
      <formula>IFERROR(INDEX(DiasCategorias, T38-FechaInicio+1),0)=12</formula>
    </cfRule>
  </conditionalFormatting>
  <dataValidations count="1">
    <dataValidation allowBlank="1" showInputMessage="1" showErrorMessage="1" errorTitle="Año no válido" error="Escriba un año entre 1900 y 9999 o use la barra de desplazamiento para buscar un año." sqref="C1" xr:uid="{00000000-0002-0000-0100-000000000000}"/>
  </dataValidations>
  <printOptions horizontalCentered="1" verticalCentered="1"/>
  <pageMargins left="0.51181102362204722" right="0.51181102362204722" top="0.51181102362204722" bottom="0.51181102362204722" header="0.31496062992125984" footer="0.31496062992125984"/>
  <pageSetup paperSize="5" scale="80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Control numérico">
              <controlPr defaultSize="0" print="0" autoPict="0" altText="Use el botón de control numérico para cambiar de año natural o escriba el año en la celda C1">
                <anchor moveWithCells="1">
                  <from>
                    <xdr:col>1</xdr:col>
                    <xdr:colOff>114300</xdr:colOff>
                    <xdr:row>0</xdr:row>
                    <xdr:rowOff>38100</xdr:rowOff>
                  </from>
                  <to>
                    <xdr:col>1</xdr:col>
                    <xdr:colOff>266700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  <tableParts count="12"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Calendario anual</vt:lpstr>
      <vt:lpstr>AñoCalendario</vt:lpstr>
      <vt:lpstr>'Calendario anual'!Área_de_impresión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Victor Carrillo</dc:creator>
  <cp:lastModifiedBy>VICTOR CARRILLO</cp:lastModifiedBy>
  <cp:lastPrinted>2019-11-05T16:10:14Z</cp:lastPrinted>
  <dcterms:created xsi:type="dcterms:W3CDTF">2017-11-29T09:38:15Z</dcterms:created>
  <dcterms:modified xsi:type="dcterms:W3CDTF">2020-01-07T17:27:53Z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v-shbahu@microsoft.com</vt:lpwstr>
  </property>
  <property fmtid="{D5CDD505-2E9C-101B-9397-08002B2CF9AE}" pid="5" name="MSIP_Label_f42aa342-8706-4288-bd11-ebb85995028c_SetDate">
    <vt:lpwstr>2018-05-18T15:55:50.9625317Z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